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fileSharing readOnlyRecommended="1" userName="s273689" algorithmName="SHA-512" hashValue="t41AmA3iIre6mnrEHqMPeGNMvnfImJyqL/ZkEVSqtG02fi9b7JuuSQYOlltPFqIxDmhopmM/tT7/QLenGfAFGg==" saltValue="PVuhwaFhpsTAWQmccd6Ztg==" spinCount="100000"/>
  <workbookPr filterPrivacy="1" codeName="ThisWorkbook" defaultThemeVersion="124226"/>
  <xr:revisionPtr revIDLastSave="0" documentId="8_{3B1C9318-7F9E-4DBA-8C69-A224FA5709C9}" xr6:coauthVersionLast="47" xr6:coauthVersionMax="47" xr10:uidLastSave="{00000000-0000-0000-0000-000000000000}"/>
  <bookViews>
    <workbookView xWindow="-120" yWindow="-120" windowWidth="29040" windowHeight="15840" tabRatio="902" xr2:uid="{00000000-000D-0000-FFFF-FFFF00000000}"/>
  </bookViews>
  <sheets>
    <sheet name="TCOS" sheetId="2" r:id="rId1"/>
    <sheet name="WS A - Rate Base Support" sheetId="38" r:id="rId2"/>
    <sheet name="WS B ADIT &amp; ITC" sheetId="5" r:id="rId3"/>
    <sheet name="WS B-1 - Actual Stmt. AF" sheetId="36" r:id="rId4"/>
    <sheet name="WS B-2 - Actual Stmt. AG" sheetId="37" r:id="rId5"/>
    <sheet name="WS B-3" sheetId="42" r:id="rId6"/>
    <sheet name="WS-B-3-A-Remeas Suprt" sheetId="44" r:id="rId7"/>
    <sheet name="WS C  - Working Capital" sheetId="6" r:id="rId8"/>
    <sheet name="WS D IPP Credits" sheetId="7" r:id="rId9"/>
    <sheet name="WS E Rev Credits" sheetId="8" r:id="rId10"/>
    <sheet name="WS F Misc Exp" sheetId="9" r:id="rId11"/>
    <sheet name="WS G  State Tax Rate" sheetId="10" r:id="rId12"/>
    <sheet name="WS H-p1 Other Taxes" sheetId="11" r:id="rId13"/>
    <sheet name="WS H-p2 Detail of Tax Amts" sheetId="31" r:id="rId14"/>
    <sheet name="WS I RESERVED" sheetId="12" r:id="rId15"/>
    <sheet name="WS J PROJECTED RTEP RR" sheetId="20" r:id="rId16"/>
    <sheet name="WS K TRUE-UP RTEP RR" sheetId="13" state="hidden" r:id="rId17"/>
    <sheet name="WS L RESERVED" sheetId="14" r:id="rId18"/>
    <sheet name="WS M - Cost of Capital" sheetId="39" r:id="rId19"/>
    <sheet name="WS N - Sale of Plant Held" sheetId="21" r:id="rId20"/>
    <sheet name="Worksheet O" sheetId="40" r:id="rId21"/>
    <sheet name="WS P Dep. Rates" sheetId="43" r:id="rId22"/>
    <sheet name="WS Q Cap Structure" sheetId="34" r:id="rId23"/>
    <sheet name="WS R Interest" sheetId="35" r:id="rId24"/>
    <sheet name="WS R Schedule 1A" sheetId="41" r:id="rId25"/>
  </sheets>
  <definedNames>
    <definedName name="__NPh1">#REF!</definedName>
    <definedName name="_NPh1" localSheetId="6">#REF!</definedName>
    <definedName name="_NPh1">#REF!</definedName>
    <definedName name="ActExcessAmt" localSheetId="21">#REF!</definedName>
    <definedName name="ActExcessAmt" localSheetId="6">#REF!</definedName>
    <definedName name="ActExcessAmt">#REF!</definedName>
    <definedName name="ActGrTaxAmt" localSheetId="21">#REF!</definedName>
    <definedName name="ActGrTaxAmt" localSheetId="6">#REF!</definedName>
    <definedName name="ActGrTaxAmt">#REF!</definedName>
    <definedName name="ActKWHExcess" localSheetId="21">#REF!</definedName>
    <definedName name="ActKWHExcess">#REF!</definedName>
    <definedName name="ActKWHNotUsed" localSheetId="21">#REF!</definedName>
    <definedName name="ActKWHNotUsed">#REF!</definedName>
    <definedName name="ActKWHRes" localSheetId="21">#REF!</definedName>
    <definedName name="ActKWHRes">#REF!</definedName>
    <definedName name="ActKWHSubTot" localSheetId="21">#REF!</definedName>
    <definedName name="ActKWHSubTot">#REF!</definedName>
    <definedName name="ActKWHTot" localSheetId="21">#REF!</definedName>
    <definedName name="ActKWHTot">#REF!</definedName>
    <definedName name="ActNotUsedAmt" localSheetId="21">#REF!</definedName>
    <definedName name="ActNotUsedAmt">#REF!</definedName>
    <definedName name="ActResAmt" localSheetId="21">#REF!</definedName>
    <definedName name="ActResAmt">#REF!</definedName>
    <definedName name="ActSubTotAmt" localSheetId="21">#REF!</definedName>
    <definedName name="ActSubTotAmt">#REF!</definedName>
    <definedName name="ActTotAmt" localSheetId="21">#REF!</definedName>
    <definedName name="ActTotAmt">#REF!</definedName>
    <definedName name="AdminChg" localSheetId="21">#REF!</definedName>
    <definedName name="AdminChg">#REF!</definedName>
    <definedName name="AEP" localSheetId="21">#REF!</definedName>
    <definedName name="AEP">#REF!</definedName>
    <definedName name="allocator" localSheetId="21">#REF!</definedName>
    <definedName name="allocator">#REF!</definedName>
    <definedName name="allocators" localSheetId="21">#REF!</definedName>
    <definedName name="allocators">#REF!</definedName>
    <definedName name="allocatorsSWP" localSheetId="21">#REF!</definedName>
    <definedName name="allocatorsSWP">#REF!</definedName>
    <definedName name="allocatorSWP1">#REF!</definedName>
    <definedName name="APCO" localSheetId="21">#REF!</definedName>
    <definedName name="APCO" localSheetId="6">#REF!</definedName>
    <definedName name="APCO">#REF!</definedName>
    <definedName name="APCo_Hist_Allocators" localSheetId="20">#REF!</definedName>
    <definedName name="APCo_Hist_Allocators" localSheetId="1">#REF!</definedName>
    <definedName name="APCo_Hist_Allocators" localSheetId="13">#REF!</definedName>
    <definedName name="APCo_Hist_Allocators" localSheetId="18">#REF!</definedName>
    <definedName name="APCo_Hist_Allocators" localSheetId="21">#REF!</definedName>
    <definedName name="APCo_Hist_Allocators" localSheetId="24">TCOS!#REF!</definedName>
    <definedName name="APCo_Hist_Allocators" localSheetId="6">#REF!</definedName>
    <definedName name="APCo_Hist_Allocators">TCOS!#REF!</definedName>
    <definedName name="APCo_Proj_Allocators" localSheetId="13">#REF!</definedName>
    <definedName name="APCo_Proj_Allocators" localSheetId="21">#REF!</definedName>
    <definedName name="APCo_Proj_Allocators" localSheetId="6">#REF!</definedName>
    <definedName name="APCo_Proj_Allocators">#REF!</definedName>
    <definedName name="APCo_TU_Allocators" localSheetId="13">#REF!</definedName>
    <definedName name="APCo_TU_Allocators" localSheetId="21">#REF!</definedName>
    <definedName name="APCo_TU_Allocators">#REF!</definedName>
    <definedName name="AVRGPWRFCTR" localSheetId="21">#REF!</definedName>
    <definedName name="AVRGPWRFCTR">#REF!</definedName>
    <definedName name="B1HRSCRMO" localSheetId="21">#REF!</definedName>
    <definedName name="B1HRSCRMO">#REF!</definedName>
    <definedName name="B2HRSCRMO" localSheetId="21">#REF!</definedName>
    <definedName name="B2HRSCRMO">#REF!</definedName>
    <definedName name="BASERATECHG" localSheetId="21">#REF!</definedName>
    <definedName name="BASERATECHG">#REF!</definedName>
    <definedName name="BILLKWH" localSheetId="21">#REF!</definedName>
    <definedName name="BILLKWH">#REF!</definedName>
    <definedName name="BIRPCCHG" localSheetId="21">#REF!</definedName>
    <definedName name="BIRPCCHG">#REF!</definedName>
    <definedName name="BIRPDCHG1" localSheetId="21">#REF!</definedName>
    <definedName name="BIRPDCHG1">#REF!</definedName>
    <definedName name="BIRPDCHG2" localSheetId="21">#REF!</definedName>
    <definedName name="BIRPDCHG2">#REF!</definedName>
    <definedName name="BIRPECHG1" localSheetId="21">#REF!</definedName>
    <definedName name="BIRPECHG1">#REF!</definedName>
    <definedName name="BIRPECHGB1" localSheetId="21">#REF!</definedName>
    <definedName name="BIRPECHGB1">#REF!</definedName>
    <definedName name="BIRPECHGB2" localSheetId="21">#REF!</definedName>
    <definedName name="BIRPECHGB2">#REF!</definedName>
    <definedName name="BIRPECHGB3" localSheetId="21">#REF!</definedName>
    <definedName name="BIRPECHGB3">#REF!</definedName>
    <definedName name="BIRPECHGW" localSheetId="21">#REF!</definedName>
    <definedName name="BIRPECHGW">#REF!</definedName>
    <definedName name="BIRPKWH1" localSheetId="21">#REF!</definedName>
    <definedName name="BIRPKWH1">#REF!</definedName>
    <definedName name="BIRPKWHB1" localSheetId="21">#REF!</definedName>
    <definedName name="BIRPKWHB1">#REF!</definedName>
    <definedName name="BIRPKWHB2" localSheetId="21">#REF!</definedName>
    <definedName name="BIRPKWHB2">#REF!</definedName>
    <definedName name="BIRPKWHB3" localSheetId="21">#REF!</definedName>
    <definedName name="BIRPKWHB3">#REF!</definedName>
    <definedName name="BIRPKWHWH" localSheetId="21">#REF!</definedName>
    <definedName name="BIRPKWHWH">#REF!</definedName>
    <definedName name="BIRPMECHG1" localSheetId="21">#REF!</definedName>
    <definedName name="BIRPMECHG1">#REF!</definedName>
    <definedName name="BIRPOFKWH" localSheetId="21">#REF!</definedName>
    <definedName name="BIRPOFKWH">#REF!</definedName>
    <definedName name="BIRPOPKWH" localSheetId="21">#REF!</definedName>
    <definedName name="BIRPOPKWH">#REF!</definedName>
    <definedName name="BIRPP1EC" localSheetId="21">#REF!</definedName>
    <definedName name="BIRPP1EC">#REF!</definedName>
    <definedName name="BIRPP2EC" localSheetId="21">#REF!</definedName>
    <definedName name="BIRPP2EC">#REF!</definedName>
    <definedName name="BIRPP3EC" localSheetId="21">#REF!</definedName>
    <definedName name="BIRPP3EC">#REF!</definedName>
    <definedName name="BIRPP4EC" localSheetId="21">#REF!</definedName>
    <definedName name="BIRPP4EC">#REF!</definedName>
    <definedName name="BIRPP5EC" localSheetId="21">#REF!</definedName>
    <definedName name="BIRPP5EC">#REF!</definedName>
    <definedName name="BIRPPDMDCHG" localSheetId="21">#REF!</definedName>
    <definedName name="BIRPPDMDCHG">#REF!</definedName>
    <definedName name="BIRPRCHG" localSheetId="21">#REF!</definedName>
    <definedName name="BIRPRCHG">#REF!</definedName>
    <definedName name="BIRPXKVA" localSheetId="21">#REF!</definedName>
    <definedName name="BIRPXKVA">#REF!</definedName>
    <definedName name="BIRPXKVAPCT" localSheetId="21">#REF!</definedName>
    <definedName name="BIRPXKVAPCT">#REF!</definedName>
    <definedName name="BIRPXOFKW" localSheetId="21">#REF!</definedName>
    <definedName name="BIRPXOFKW">#REF!</definedName>
    <definedName name="BKUPKWH" localSheetId="21">#REF!</definedName>
    <definedName name="BKUPKWH">#REF!</definedName>
    <definedName name="BLDAMNT" localSheetId="21">#REF!</definedName>
    <definedName name="BLDAMNT">#REF!</definedName>
    <definedName name="BLDDMND" localSheetId="21">#REF!</definedName>
    <definedName name="BLDDMND">#REF!</definedName>
    <definedName name="BLDKWH" localSheetId="21">#REF!</definedName>
    <definedName name="BLDKWH">#REF!</definedName>
    <definedName name="BLDOPDMND" localSheetId="21">#REF!</definedName>
    <definedName name="BLDOPDMND">#REF!</definedName>
    <definedName name="BLNGKWB4EDR" localSheetId="21">#REF!</definedName>
    <definedName name="BLNGKWB4EDR">#REF!</definedName>
    <definedName name="BLNGKWH" localSheetId="21">#REF!</definedName>
    <definedName name="BLNGKWH">#REF!</definedName>
    <definedName name="BLNGKWHTTL" localSheetId="21">#REF!</definedName>
    <definedName name="BLNGKWHTTL">#REF!</definedName>
    <definedName name="BndBlkKwh1" localSheetId="21">#REF!</definedName>
    <definedName name="BndBlkKwh1">#REF!</definedName>
    <definedName name="BndBlkKwh2" localSheetId="21">#REF!</definedName>
    <definedName name="BndBlkKwh2">#REF!</definedName>
    <definedName name="BndBlkKwh3" localSheetId="21">#REF!</definedName>
    <definedName name="BndBlkKwh3">#REF!</definedName>
    <definedName name="BndBlkKwhChg1" localSheetId="21">#REF!</definedName>
    <definedName name="BndBlkKwhChg1">#REF!</definedName>
    <definedName name="BndBlkKwhChg2" localSheetId="21">#REF!</definedName>
    <definedName name="BndBlkKwhChg2">#REF!</definedName>
    <definedName name="BndBlkKwhChg3" localSheetId="21">#REF!</definedName>
    <definedName name="BndBlkKwhChg3">#REF!</definedName>
    <definedName name="BndBlkKwhChgT" localSheetId="21">#REF!</definedName>
    <definedName name="BndBlkKwhChgT">#REF!</definedName>
    <definedName name="BndBlkKwhChgW" localSheetId="21">#REF!</definedName>
    <definedName name="BndBlkKwhChgW">#REF!</definedName>
    <definedName name="BndBlkKwhT" localSheetId="21">#REF!</definedName>
    <definedName name="BndBlkKwhT">#REF!</definedName>
    <definedName name="BndBlkKwhW" localSheetId="21">#REF!</definedName>
    <definedName name="BndBlkKwhW">#REF!</definedName>
    <definedName name="BndCustChg" localSheetId="21">#REF!</definedName>
    <definedName name="BndCustChg">#REF!</definedName>
    <definedName name="BndDmdChg1" localSheetId="21">#REF!</definedName>
    <definedName name="BndDmdChg1">#REF!</definedName>
    <definedName name="BndDmdChg2" localSheetId="21">#REF!</definedName>
    <definedName name="BndDmdChg2">#REF!</definedName>
    <definedName name="BndExcsKvaPct" localSheetId="21">#REF!</definedName>
    <definedName name="BndExcsKvaPct">#REF!</definedName>
    <definedName name="BndMEChg" localSheetId="21">#REF!</definedName>
    <definedName name="BndMEChg">#REF!</definedName>
    <definedName name="BndOffPkKwh" localSheetId="21">#REF!</definedName>
    <definedName name="BndOffPkKwh">#REF!</definedName>
    <definedName name="BndOnPkKwh" localSheetId="21">#REF!</definedName>
    <definedName name="BndOnPkKwh">#REF!</definedName>
    <definedName name="BndPL1Chg" localSheetId="21">#REF!</definedName>
    <definedName name="BndPL1Chg">#REF!</definedName>
    <definedName name="BndPL2Chg" localSheetId="21">#REF!</definedName>
    <definedName name="BndPL2Chg">#REF!</definedName>
    <definedName name="BndPL3Chg" localSheetId="21">#REF!</definedName>
    <definedName name="BndPL3Chg">#REF!</definedName>
    <definedName name="BndPL4Chg" localSheetId="21">#REF!</definedName>
    <definedName name="BndPL4Chg">#REF!</definedName>
    <definedName name="BndPL5Chg" localSheetId="21">#REF!</definedName>
    <definedName name="BndPL5Chg">#REF!</definedName>
    <definedName name="BndReactiveChg" localSheetId="21">#REF!</definedName>
    <definedName name="BndReactiveChg">#REF!</definedName>
    <definedName name="BndXOfpKvaChg" localSheetId="21">#REF!</definedName>
    <definedName name="BndXOfpKvaChg">#REF!</definedName>
    <definedName name="BndXOfpKwChg" localSheetId="21">#REF!</definedName>
    <definedName name="BndXOfpKwChg">#REF!</definedName>
    <definedName name="BTTrueUp" localSheetId="21">#REF!</definedName>
    <definedName name="BTTrueUp">#REF!</definedName>
    <definedName name="BUNCCHG" localSheetId="21">#REF!</definedName>
    <definedName name="BUNCCHG">#REF!</definedName>
    <definedName name="BUNDCHG1" localSheetId="21">#REF!</definedName>
    <definedName name="BUNDCHG1">#REF!</definedName>
    <definedName name="BUNDCHG2" localSheetId="21">#REF!</definedName>
    <definedName name="BUNDCHG2">#REF!</definedName>
    <definedName name="BUNECHG1" localSheetId="21">#REF!</definedName>
    <definedName name="BUNECHG1">#REF!</definedName>
    <definedName name="BUNECHGB1" localSheetId="21">#REF!</definedName>
    <definedName name="BUNECHGB1">#REF!</definedName>
    <definedName name="BUNECHGB2" localSheetId="21">#REF!</definedName>
    <definedName name="BUNECHGB2">#REF!</definedName>
    <definedName name="BUNECHGB3" localSheetId="21">#REF!</definedName>
    <definedName name="BUNECHGB3">#REF!</definedName>
    <definedName name="BUNECHGW" localSheetId="21">#REF!</definedName>
    <definedName name="BUNECHGW">#REF!</definedName>
    <definedName name="BUNKWH1" localSheetId="21">#REF!</definedName>
    <definedName name="BUNKWH1">#REF!</definedName>
    <definedName name="BUNKWHB1" localSheetId="21">#REF!</definedName>
    <definedName name="BUNKWHB1">#REF!</definedName>
    <definedName name="BUNKWHB2" localSheetId="21">#REF!</definedName>
    <definedName name="BUNKWHB2">#REF!</definedName>
    <definedName name="BUNKWHB3" localSheetId="21">#REF!</definedName>
    <definedName name="BUNKWHB3">#REF!</definedName>
    <definedName name="BUNKWHWH" localSheetId="21">#REF!</definedName>
    <definedName name="BUNKWHWH">#REF!</definedName>
    <definedName name="BUNMECHG1" localSheetId="21">#REF!</definedName>
    <definedName name="BUNMECHG1">#REF!</definedName>
    <definedName name="BUNOFKWH" localSheetId="21">#REF!</definedName>
    <definedName name="BUNOFKWH">#REF!</definedName>
    <definedName name="BUNOPKWH" localSheetId="21">#REF!</definedName>
    <definedName name="BUNOPKWH">#REF!</definedName>
    <definedName name="BUNP1EC" localSheetId="21">#REF!</definedName>
    <definedName name="BUNP1EC">#REF!</definedName>
    <definedName name="BUNP2EC" localSheetId="21">#REF!</definedName>
    <definedName name="BUNP2EC">#REF!</definedName>
    <definedName name="BUNP3EC" localSheetId="21">#REF!</definedName>
    <definedName name="BUNP3EC">#REF!</definedName>
    <definedName name="BUNP4EC" localSheetId="21">#REF!</definedName>
    <definedName name="BUNP4EC">#REF!</definedName>
    <definedName name="BUNP5EC" localSheetId="21">#REF!</definedName>
    <definedName name="BUNP5EC">#REF!</definedName>
    <definedName name="BUNPDMDCHG" localSheetId="21">#REF!</definedName>
    <definedName name="BUNPDMDCHG">#REF!</definedName>
    <definedName name="BUNRCHG" localSheetId="21">#REF!</definedName>
    <definedName name="BUNRCHG">#REF!</definedName>
    <definedName name="BUNXKVA" localSheetId="21">#REF!</definedName>
    <definedName name="BUNXKVA">#REF!</definedName>
    <definedName name="BUNXKVAPCT" localSheetId="21">#REF!</definedName>
    <definedName name="BUNXKVAPCT">#REF!</definedName>
    <definedName name="BUNXOFKW" localSheetId="21">#REF!</definedName>
    <definedName name="BUNXOFKW">#REF!</definedName>
    <definedName name="CALCPFCC" localSheetId="21">#REF!</definedName>
    <definedName name="CALCPFCC">#REF!</definedName>
    <definedName name="CAPDEFA" localSheetId="21">#REF!</definedName>
    <definedName name="CAPDEFA">#REF!</definedName>
    <definedName name="CBLKWH" localSheetId="21">#REF!</definedName>
    <definedName name="CBLKWH">#REF!</definedName>
    <definedName name="City" localSheetId="21">#REF!</definedName>
    <definedName name="City">#REF!</definedName>
    <definedName name="CNTRCTDMND" localSheetId="21">#REF!</definedName>
    <definedName name="CNTRCTDMND">#REF!</definedName>
    <definedName name="CoPhoneLine" localSheetId="21">#REF!</definedName>
    <definedName name="CoPhoneLine">#REF!</definedName>
    <definedName name="CRMOINTRPTHRS" localSheetId="21">#REF!</definedName>
    <definedName name="CRMOINTRPTHRS">#REF!</definedName>
    <definedName name="CRNTMOBTKWH" localSheetId="21">#REF!</definedName>
    <definedName name="CRNTMOBTKWH">#REF!</definedName>
    <definedName name="CRNTMOFPKHRS" localSheetId="21">#REF!</definedName>
    <definedName name="CRNTMOFPKHRS">#REF!</definedName>
    <definedName name="CRNTMONPKHRS" localSheetId="21">#REF!</definedName>
    <definedName name="CRNTMONPKHRS">#REF!</definedName>
    <definedName name="CRTLBLONPKHRS" localSheetId="21">#REF!</definedName>
    <definedName name="CRTLBLONPKHRS">#REF!</definedName>
    <definedName name="CRTLBLONPKKWH" localSheetId="21">#REF!</definedName>
    <definedName name="CRTLBLONPKKWH">#REF!</definedName>
    <definedName name="CSTMRCHG" localSheetId="21">#REF!</definedName>
    <definedName name="CSTMRCHG">#REF!</definedName>
    <definedName name="CurMoAddr1" localSheetId="21">#REF!</definedName>
    <definedName name="CurMoAddr1">#REF!</definedName>
    <definedName name="CurMoAddr2" localSheetId="21">#REF!</definedName>
    <definedName name="CurMoAddr2">#REF!</definedName>
    <definedName name="CurMoBTDetail" localSheetId="21">#REF!</definedName>
    <definedName name="CurMoBTDetail">#REF!</definedName>
    <definedName name="CurMoBuyThrgh_Sheet" localSheetId="21">#REF!</definedName>
    <definedName name="CurMoBuyThrgh_Sheet">#REF!</definedName>
    <definedName name="CurMoCityStZip" localSheetId="21">#REF!</definedName>
    <definedName name="CurMoCityStZip">#REF!</definedName>
    <definedName name="CurMoCustName" localSheetId="21">#REF!</definedName>
    <definedName name="CurMoCustName">#REF!</definedName>
    <definedName name="CurMoExcessAmt" localSheetId="21">#REF!</definedName>
    <definedName name="CurMoExcessAmt">#REF!</definedName>
    <definedName name="CurMoGrTaxAmt" localSheetId="21">#REF!</definedName>
    <definedName name="CurMoGrTaxAmt">#REF!</definedName>
    <definedName name="CurMoKWHExcess" localSheetId="21">#REF!</definedName>
    <definedName name="CurMoKWHExcess">#REF!</definedName>
    <definedName name="CurMoKWHNotUsed" localSheetId="21">#REF!</definedName>
    <definedName name="CurMoKWHNotUsed">#REF!</definedName>
    <definedName name="CurMoKWHRes" localSheetId="21">#REF!</definedName>
    <definedName name="CurMoKWHRes">#REF!</definedName>
    <definedName name="CurMoKWHSubTot" localSheetId="21">#REF!</definedName>
    <definedName name="CurMoKWHSubTot">#REF!</definedName>
    <definedName name="CurMoKWHTot" localSheetId="21">#REF!</definedName>
    <definedName name="CurMoKWHTot">#REF!</definedName>
    <definedName name="CurMoMtrMult" localSheetId="21">#REF!</definedName>
    <definedName name="CurMoMtrMult">#REF!</definedName>
    <definedName name="CurMoNotUsedAmt" localSheetId="21">#REF!</definedName>
    <definedName name="CurMoNotUsedAmt">#REF!</definedName>
    <definedName name="CurMoResAmt" localSheetId="21">#REF!</definedName>
    <definedName name="CurMoResAmt">#REF!</definedName>
    <definedName name="CurMoSubTotAmt" localSheetId="21">#REF!</definedName>
    <definedName name="CurMoSubTotAmt">#REF!</definedName>
    <definedName name="CurMoTotAmt" localSheetId="21">#REF!</definedName>
    <definedName name="CurMoTotAmt">#REF!</definedName>
    <definedName name="CurrYear" localSheetId="21">#REF!</definedName>
    <definedName name="CurrYear">#REF!</definedName>
    <definedName name="CustAddr1" localSheetId="21">#REF!</definedName>
    <definedName name="CustAddr1">#REF!</definedName>
    <definedName name="CustAddr2" localSheetId="21">#REF!</definedName>
    <definedName name="CustAddr2">#REF!</definedName>
    <definedName name="CustCityStZip" localSheetId="21">#REF!</definedName>
    <definedName name="CustCityStZip">#REF!</definedName>
    <definedName name="CustName2" localSheetId="21">#REF!</definedName>
    <definedName name="CustName2">#REF!</definedName>
    <definedName name="CustTable" localSheetId="21">#REF!</definedName>
    <definedName name="CustTable">#REF!</definedName>
    <definedName name="DetailTotCbl" localSheetId="21">#REF!</definedName>
    <definedName name="DetailTotCbl">#REF!</definedName>
    <definedName name="DetailTotChg" localSheetId="21">#REF!</definedName>
    <definedName name="DetailTotChg">#REF!</definedName>
    <definedName name="DetailTotKw" localSheetId="21">#REF!</definedName>
    <definedName name="DetailTotKw">#REF!</definedName>
    <definedName name="DetailTotMargin" localSheetId="21">#REF!</definedName>
    <definedName name="DetailTotMargin">#REF!</definedName>
    <definedName name="DIRPCCHG" localSheetId="21">#REF!</definedName>
    <definedName name="DIRPCCHG">#REF!</definedName>
    <definedName name="DIRPDCHG1" localSheetId="21">#REF!</definedName>
    <definedName name="DIRPDCHG1">#REF!</definedName>
    <definedName name="DIRPDCHG2" localSheetId="21">#REF!</definedName>
    <definedName name="DIRPDCHG2">#REF!</definedName>
    <definedName name="DIRPECHG1" localSheetId="21">#REF!</definedName>
    <definedName name="DIRPECHG1">#REF!</definedName>
    <definedName name="DIRPECHGB1" localSheetId="21">#REF!</definedName>
    <definedName name="DIRPECHGB1">#REF!</definedName>
    <definedName name="DIRPECHGB2" localSheetId="21">#REF!</definedName>
    <definedName name="DIRPECHGB2">#REF!</definedName>
    <definedName name="DIRPECHGB3" localSheetId="21">#REF!</definedName>
    <definedName name="DIRPECHGB3">#REF!</definedName>
    <definedName name="DIRPMECHG1" localSheetId="21">#REF!</definedName>
    <definedName name="DIRPMECHG1">#REF!</definedName>
    <definedName name="DIRPMINDC" localSheetId="21">#REF!</definedName>
    <definedName name="DIRPMINDC">#REF!</definedName>
    <definedName name="DIRPMINEC" localSheetId="21">#REF!</definedName>
    <definedName name="DIRPMINEC">#REF!</definedName>
    <definedName name="DIRPOFKVA" localSheetId="21">#REF!</definedName>
    <definedName name="DIRPOFKVA">#REF!</definedName>
    <definedName name="DIRPOFKW" localSheetId="21">#REF!</definedName>
    <definedName name="DIRPOFKW">#REF!</definedName>
    <definedName name="DIRPOFKWH" localSheetId="21">#REF!</definedName>
    <definedName name="DIRPOFKWH">#REF!</definedName>
    <definedName name="DIRPOPKWH" localSheetId="21">#REF!</definedName>
    <definedName name="DIRPOPKWH">#REF!</definedName>
    <definedName name="DIRPP1EC" localSheetId="21">#REF!</definedName>
    <definedName name="DIRPP1EC">#REF!</definedName>
    <definedName name="DIRPP2EC" localSheetId="21">#REF!</definedName>
    <definedName name="DIRPP2EC">#REF!</definedName>
    <definedName name="DIRPP3EC" localSheetId="21">#REF!</definedName>
    <definedName name="DIRPP3EC">#REF!</definedName>
    <definedName name="DIRPP4EC" localSheetId="21">#REF!</definedName>
    <definedName name="DIRPP4EC">#REF!</definedName>
    <definedName name="DIRPP5EC" localSheetId="21">#REF!</definedName>
    <definedName name="DIRPP5EC">#REF!</definedName>
    <definedName name="DIRPRCHG" localSheetId="21">#REF!</definedName>
    <definedName name="DIRPRCHG">#REF!</definedName>
    <definedName name="DisBlkKwhChg1" localSheetId="21">#REF!</definedName>
    <definedName name="DisBlkKwhChg1">#REF!</definedName>
    <definedName name="DisBlkKwhChg2" localSheetId="21">#REF!</definedName>
    <definedName name="DisBlkKwhChg2">#REF!</definedName>
    <definedName name="DisBlkKwhChg3" localSheetId="21">#REF!</definedName>
    <definedName name="DisBlkKwhChg3">#REF!</definedName>
    <definedName name="DisBlkKwhChgT" localSheetId="21">#REF!</definedName>
    <definedName name="DisBlkKwhChgT">#REF!</definedName>
    <definedName name="DisCustChg" localSheetId="21">#REF!</definedName>
    <definedName name="DisCustChg">#REF!</definedName>
    <definedName name="DisDmdChg1" localSheetId="21">#REF!</definedName>
    <definedName name="DisDmdChg1">#REF!</definedName>
    <definedName name="DisDmdChg2" localSheetId="21">#REF!</definedName>
    <definedName name="DisDmdChg2">#REF!</definedName>
    <definedName name="DisMEChg" localSheetId="21">#REF!</definedName>
    <definedName name="DisMEChg">#REF!</definedName>
    <definedName name="DisMinDChg" localSheetId="21">#REF!</definedName>
    <definedName name="DisMinDChg">#REF!</definedName>
    <definedName name="DisMinEChg" localSheetId="21">#REF!</definedName>
    <definedName name="DisMinEChg">#REF!</definedName>
    <definedName name="DisOffPkKwh" localSheetId="21">#REF!</definedName>
    <definedName name="DisOffPkKwh">#REF!</definedName>
    <definedName name="DisOnPkKwh" localSheetId="21">#REF!</definedName>
    <definedName name="DisOnPkKwh">#REF!</definedName>
    <definedName name="DisPL1Chg" localSheetId="21">#REF!</definedName>
    <definedName name="DisPL1Chg">#REF!</definedName>
    <definedName name="DisPL2Chg" localSheetId="21">#REF!</definedName>
    <definedName name="DisPL2Chg">#REF!</definedName>
    <definedName name="DisPL3Chg" localSheetId="21">#REF!</definedName>
    <definedName name="DisPL3Chg">#REF!</definedName>
    <definedName name="DisPL4Chg" localSheetId="21">#REF!</definedName>
    <definedName name="DisPL4Chg">#REF!</definedName>
    <definedName name="DisPL5Chg" localSheetId="21">#REF!</definedName>
    <definedName name="DisPL5Chg">#REF!</definedName>
    <definedName name="DisReactiveChg" localSheetId="21">#REF!</definedName>
    <definedName name="DisReactiveChg">#REF!</definedName>
    <definedName name="DisXOfpKvaChg" localSheetId="21">#REF!</definedName>
    <definedName name="DisXOfpKvaChg">#REF!</definedName>
    <definedName name="DisXOfpKwChg" localSheetId="21">#REF!</definedName>
    <definedName name="DisXOfpKwChg">#REF!</definedName>
    <definedName name="DSTCCHG" localSheetId="21">#REF!</definedName>
    <definedName name="DSTCCHG">#REF!</definedName>
    <definedName name="DSTDCHG1" localSheetId="21">#REF!</definedName>
    <definedName name="DSTDCHG1">#REF!</definedName>
    <definedName name="DSTDCHG2" localSheetId="21">#REF!</definedName>
    <definedName name="DSTDCHG2">#REF!</definedName>
    <definedName name="DSTECHG1" localSheetId="21">#REF!</definedName>
    <definedName name="DSTECHG1">#REF!</definedName>
    <definedName name="DSTECHGB1" localSheetId="21">#REF!</definedName>
    <definedName name="DSTECHGB1">#REF!</definedName>
    <definedName name="DSTECHGB2" localSheetId="21">#REF!</definedName>
    <definedName name="DSTECHGB2">#REF!</definedName>
    <definedName name="DSTECHGB3" localSheetId="21">#REF!</definedName>
    <definedName name="DSTECHGB3">#REF!</definedName>
    <definedName name="DSTMECHG1" localSheetId="21">#REF!</definedName>
    <definedName name="DSTMECHG1">#REF!</definedName>
    <definedName name="DSTMINDC" localSheetId="21">#REF!</definedName>
    <definedName name="DSTMINDC">#REF!</definedName>
    <definedName name="DSTMINEC" localSheetId="21">#REF!</definedName>
    <definedName name="DSTMINEC">#REF!</definedName>
    <definedName name="DSTOFKWH" localSheetId="21">#REF!</definedName>
    <definedName name="DSTOFKWH">#REF!</definedName>
    <definedName name="DSTOPKWH" localSheetId="21">#REF!</definedName>
    <definedName name="DSTOPKWH">#REF!</definedName>
    <definedName name="DSTP1EC" localSheetId="21">#REF!</definedName>
    <definedName name="DSTP1EC">#REF!</definedName>
    <definedName name="DSTP2EC" localSheetId="21">#REF!</definedName>
    <definedName name="DSTP2EC">#REF!</definedName>
    <definedName name="DSTP3EC" localSheetId="21">#REF!</definedName>
    <definedName name="DSTP3EC">#REF!</definedName>
    <definedName name="DSTP4EC" localSheetId="21">#REF!</definedName>
    <definedName name="DSTP4EC">#REF!</definedName>
    <definedName name="DSTP5EC" localSheetId="21">#REF!</definedName>
    <definedName name="DSTP5EC">#REF!</definedName>
    <definedName name="DSTRCHG" localSheetId="21">#REF!</definedName>
    <definedName name="DSTRCHG">#REF!</definedName>
    <definedName name="DSTXOFKVA" localSheetId="21">#REF!</definedName>
    <definedName name="DSTXOFKVA">#REF!</definedName>
    <definedName name="DSTXOFKW" localSheetId="21">#REF!</definedName>
    <definedName name="DSTXOFKW">#REF!</definedName>
    <definedName name="EDRBASE" localSheetId="21">#REF!</definedName>
    <definedName name="EDRBASE">#REF!</definedName>
    <definedName name="EDRDATE" localSheetId="21">#REF!</definedName>
    <definedName name="EDRDATE">#REF!</definedName>
    <definedName name="EDRDSCNT" localSheetId="21">#REF!</definedName>
    <definedName name="EDRDSCNT">#REF!</definedName>
    <definedName name="EDRLVLPCT" localSheetId="21">#REF!</definedName>
    <definedName name="EDRLVLPCT">#REF!</definedName>
    <definedName name="EDRTYPE" localSheetId="21">#REF!</definedName>
    <definedName name="EDRTYPE">#REF!</definedName>
    <definedName name="EffDate" localSheetId="21">#REF!</definedName>
    <definedName name="EffDate">#REF!</definedName>
    <definedName name="ELKMCGN1" localSheetId="21">#REF!</definedName>
    <definedName name="ELKMCGN1">#REF!</definedName>
    <definedName name="ELKMCGN2" localSheetId="21">#REF!</definedName>
    <definedName name="ELKMCGN2">#REF!</definedName>
    <definedName name="ENDDTM" localSheetId="21">#REF!</definedName>
    <definedName name="ENDDTM">#REF!</definedName>
    <definedName name="ENDTIME" localSheetId="21">#REF!</definedName>
    <definedName name="ENDTIME">#REF!</definedName>
    <definedName name="EstExcessAmt" localSheetId="21">#REF!</definedName>
    <definedName name="EstExcessAmt">#REF!</definedName>
    <definedName name="EstGrTaxAmt" localSheetId="21">#REF!</definedName>
    <definedName name="EstGrTaxAmt">#REF!</definedName>
    <definedName name="EstKWHExcess" localSheetId="21">#REF!</definedName>
    <definedName name="EstKWHExcess">#REF!</definedName>
    <definedName name="EstKWHNotUsed" localSheetId="21">#REF!</definedName>
    <definedName name="EstKWHNotUsed">#REF!</definedName>
    <definedName name="EstKWHRes" localSheetId="21">#REF!</definedName>
    <definedName name="EstKWHRes">#REF!</definedName>
    <definedName name="EstKWHSubTot" localSheetId="21">#REF!</definedName>
    <definedName name="EstKWHSubTot">#REF!</definedName>
    <definedName name="EstKWHTot" localSheetId="21">#REF!</definedName>
    <definedName name="EstKWHTot">#REF!</definedName>
    <definedName name="EstNotUsedAmt" localSheetId="21">#REF!</definedName>
    <definedName name="EstNotUsedAmt">#REF!</definedName>
    <definedName name="EstResAmt" localSheetId="21">#REF!</definedName>
    <definedName name="EstResAmt">#REF!</definedName>
    <definedName name="EstSubTotAmt" localSheetId="21">#REF!</definedName>
    <definedName name="EstSubTotAmt">#REF!</definedName>
    <definedName name="EstTotAmt" localSheetId="21">#REF!</definedName>
    <definedName name="EstTotAmt">#REF!</definedName>
    <definedName name="EXCSKVACHG" localSheetId="21">#REF!</definedName>
    <definedName name="EXCSKVACHG">#REF!</definedName>
    <definedName name="EXCSKVADMND" localSheetId="21">#REF!</definedName>
    <definedName name="EXCSKVADMND">#REF!</definedName>
    <definedName name="EXCSKVAR" localSheetId="21">#REF!</definedName>
    <definedName name="EXCSKVAR">#REF!</definedName>
    <definedName name="FIRMKWH" localSheetId="21">#REF!</definedName>
    <definedName name="FIRMKWH">#REF!</definedName>
    <definedName name="FIRSTDAY" localSheetId="21">#REF!</definedName>
    <definedName name="FIRSTDAY">#REF!</definedName>
    <definedName name="FRMCPCT" localSheetId="21">#REF!</definedName>
    <definedName name="FRMCPCT">#REF!</definedName>
    <definedName name="FUELCHG" localSheetId="21">#REF!</definedName>
    <definedName name="FUELCHG">#REF!</definedName>
    <definedName name="FUELRATE" localSheetId="21">#REF!</definedName>
    <definedName name="FUELRATE">#REF!</definedName>
    <definedName name="GenBlkKwhChg1" localSheetId="21">#REF!</definedName>
    <definedName name="GenBlkKwhChg1">#REF!</definedName>
    <definedName name="GenBlkKwhChg2" localSheetId="21">#REF!</definedName>
    <definedName name="GenBlkKwhChg2">#REF!</definedName>
    <definedName name="GenBlkKwhChg3" localSheetId="21">#REF!</definedName>
    <definedName name="GenBlkKwhChg3">#REF!</definedName>
    <definedName name="GenBlkKwhChgT" localSheetId="21">#REF!</definedName>
    <definedName name="GenBlkKwhChgT">#REF!</definedName>
    <definedName name="GENCCHG" localSheetId="21">#REF!</definedName>
    <definedName name="GENCCHG">#REF!</definedName>
    <definedName name="GenCustChg" localSheetId="21">#REF!</definedName>
    <definedName name="GenCustChg">#REF!</definedName>
    <definedName name="GENDCHG1" localSheetId="21">#REF!</definedName>
    <definedName name="GENDCHG1">#REF!</definedName>
    <definedName name="GENDCHG2" localSheetId="21">#REF!</definedName>
    <definedName name="GENDCHG2">#REF!</definedName>
    <definedName name="GenDmdChg1" localSheetId="21">#REF!</definedName>
    <definedName name="GenDmdChg1">#REF!</definedName>
    <definedName name="GenDmdChg2" localSheetId="21">#REF!</definedName>
    <definedName name="GenDmdChg2">#REF!</definedName>
    <definedName name="GENECHG1" localSheetId="21">#REF!</definedName>
    <definedName name="GENECHG1">#REF!</definedName>
    <definedName name="GENECHGB1" localSheetId="21">#REF!</definedName>
    <definedName name="GENECHGB1">#REF!</definedName>
    <definedName name="GENECHGB2" localSheetId="21">#REF!</definedName>
    <definedName name="GENECHGB2">#REF!</definedName>
    <definedName name="GENECHGB3" localSheetId="21">#REF!</definedName>
    <definedName name="GENECHGB3">#REF!</definedName>
    <definedName name="GenMEChg" localSheetId="21">#REF!</definedName>
    <definedName name="GenMEChg">#REF!</definedName>
    <definedName name="GENMECHG1" localSheetId="21">#REF!</definedName>
    <definedName name="GENMECHG1">#REF!</definedName>
    <definedName name="GENMINDC" localSheetId="21">#REF!</definedName>
    <definedName name="GENMINDC">#REF!</definedName>
    <definedName name="GenMinDChg" localSheetId="21">#REF!</definedName>
    <definedName name="GenMinDChg">#REF!</definedName>
    <definedName name="GENMINEC" localSheetId="21">#REF!</definedName>
    <definedName name="GENMINEC">#REF!</definedName>
    <definedName name="GenMinEChg" localSheetId="21">#REF!</definedName>
    <definedName name="GenMinEChg">#REF!</definedName>
    <definedName name="GenOffPkKwh" localSheetId="21">#REF!</definedName>
    <definedName name="GenOffPkKwh">#REF!</definedName>
    <definedName name="GENOFKWH" localSheetId="21">#REF!</definedName>
    <definedName name="GENOFKWH">#REF!</definedName>
    <definedName name="GenOnPkKwh" localSheetId="21">#REF!</definedName>
    <definedName name="GenOnPkKwh">#REF!</definedName>
    <definedName name="GENOPKWH" localSheetId="21">#REF!</definedName>
    <definedName name="GENOPKWH">#REF!</definedName>
    <definedName name="GENP1EC" localSheetId="21">#REF!</definedName>
    <definedName name="GENP1EC">#REF!</definedName>
    <definedName name="GENP2EC" localSheetId="21">#REF!</definedName>
    <definedName name="GENP2EC">#REF!</definedName>
    <definedName name="GENP3EC" localSheetId="21">#REF!</definedName>
    <definedName name="GENP3EC">#REF!</definedName>
    <definedName name="GENP4EC" localSheetId="21">#REF!</definedName>
    <definedName name="GENP4EC">#REF!</definedName>
    <definedName name="GENP5EC" localSheetId="21">#REF!</definedName>
    <definedName name="GENP5EC">#REF!</definedName>
    <definedName name="GenPL1Chg" localSheetId="21">#REF!</definedName>
    <definedName name="GenPL1Chg">#REF!</definedName>
    <definedName name="GenPL2Chg" localSheetId="21">#REF!</definedName>
    <definedName name="GenPL2Chg">#REF!</definedName>
    <definedName name="GenPL3Chg" localSheetId="21">#REF!</definedName>
    <definedName name="GenPL3Chg">#REF!</definedName>
    <definedName name="GenPL4Chg" localSheetId="21">#REF!</definedName>
    <definedName name="GenPL4Chg">#REF!</definedName>
    <definedName name="GenPL5Chg" localSheetId="21">#REF!</definedName>
    <definedName name="GenPL5Chg">#REF!</definedName>
    <definedName name="GENRCHG" localSheetId="21">#REF!</definedName>
    <definedName name="GENRCHG">#REF!</definedName>
    <definedName name="GenReactiveChg" localSheetId="21">#REF!</definedName>
    <definedName name="GenReactiveChg">#REF!</definedName>
    <definedName name="GENXOFKVA" localSheetId="21">#REF!</definedName>
    <definedName name="GENXOFKVA">#REF!</definedName>
    <definedName name="GENXOFKW" localSheetId="21">#REF!</definedName>
    <definedName name="GENXOFKW">#REF!</definedName>
    <definedName name="GenXOfpKvaChg" localSheetId="21">#REF!</definedName>
    <definedName name="GenXOfpKvaChg">#REF!</definedName>
    <definedName name="GenXOfpKwChg" localSheetId="21">#REF!</definedName>
    <definedName name="GenXOfpKwChg">#REF!</definedName>
    <definedName name="GIRPCCHG" localSheetId="21">#REF!</definedName>
    <definedName name="GIRPCCHG">#REF!</definedName>
    <definedName name="GIRPDCHG1" localSheetId="21">#REF!</definedName>
    <definedName name="GIRPDCHG1">#REF!</definedName>
    <definedName name="GIRPDCHG2" localSheetId="21">#REF!</definedName>
    <definedName name="GIRPDCHG2">#REF!</definedName>
    <definedName name="GIRPECHG1" localSheetId="21">#REF!</definedName>
    <definedName name="GIRPECHG1">#REF!</definedName>
    <definedName name="GIRPECHGB1" localSheetId="21">#REF!</definedName>
    <definedName name="GIRPECHGB1">#REF!</definedName>
    <definedName name="GIRPECHGB2" localSheetId="21">#REF!</definedName>
    <definedName name="GIRPECHGB2">#REF!</definedName>
    <definedName name="GIRPECHGB3" localSheetId="21">#REF!</definedName>
    <definedName name="GIRPECHGB3">#REF!</definedName>
    <definedName name="GIRPMECHG1" localSheetId="21">#REF!</definedName>
    <definedName name="GIRPMECHG1">#REF!</definedName>
    <definedName name="GIRPMINDC" localSheetId="21">#REF!</definedName>
    <definedName name="GIRPMINDC">#REF!</definedName>
    <definedName name="GIRPMINEC" localSheetId="21">#REF!</definedName>
    <definedName name="GIRPMINEC">#REF!</definedName>
    <definedName name="GIRPOFKVA" localSheetId="21">#REF!</definedName>
    <definedName name="GIRPOFKVA">#REF!</definedName>
    <definedName name="GIRPOFKW" localSheetId="21">#REF!</definedName>
    <definedName name="GIRPOFKW">#REF!</definedName>
    <definedName name="GIRPOFKWH" localSheetId="21">#REF!</definedName>
    <definedName name="GIRPOFKWH">#REF!</definedName>
    <definedName name="GIRPOPKWH" localSheetId="21">#REF!</definedName>
    <definedName name="GIRPOPKWH">#REF!</definedName>
    <definedName name="GIRPP1EC" localSheetId="21">#REF!</definedName>
    <definedName name="GIRPP1EC">#REF!</definedName>
    <definedName name="GIRPP2EC" localSheetId="21">#REF!</definedName>
    <definedName name="GIRPP2EC">#REF!</definedName>
    <definedName name="GIRPP3EC" localSheetId="21">#REF!</definedName>
    <definedName name="GIRPP3EC">#REF!</definedName>
    <definedName name="GIRPP4EC" localSheetId="21">#REF!</definedName>
    <definedName name="GIRPP4EC">#REF!</definedName>
    <definedName name="GIRPP5EC" localSheetId="21">#REF!</definedName>
    <definedName name="GIRPP5EC">#REF!</definedName>
    <definedName name="GIRPRCHG" localSheetId="21">#REF!</definedName>
    <definedName name="GIRPRCHG">#REF!</definedName>
    <definedName name="HIPREKW" localSheetId="21">#REF!</definedName>
    <definedName name="HIPREKW">#REF!</definedName>
    <definedName name="HRCRDKW" localSheetId="21">#REF!</definedName>
    <definedName name="HRCRDKW">#REF!</definedName>
    <definedName name="HRCRDKWDT" localSheetId="21">#REF!</definedName>
    <definedName name="HRCRDKWDT">#REF!</definedName>
    <definedName name="HRCRDKWTM" localSheetId="21">#REF!</definedName>
    <definedName name="HRCRDKWTM">#REF!</definedName>
    <definedName name="HROFPKDT" localSheetId="21">#REF!</definedName>
    <definedName name="HROFPKDT">#REF!</definedName>
    <definedName name="HROFPKKW" localSheetId="21">#REF!</definedName>
    <definedName name="HROFPKKW">#REF!</definedName>
    <definedName name="HROFPKTM" localSheetId="21">#REF!</definedName>
    <definedName name="HROFPKTM">#REF!</definedName>
    <definedName name="HRONPKDT" localSheetId="21">#REF!</definedName>
    <definedName name="HRONPKDT">#REF!</definedName>
    <definedName name="HRONPKKW" localSheetId="21">#REF!</definedName>
    <definedName name="HRONPKKW">#REF!</definedName>
    <definedName name="HRONPKTM" localSheetId="21">#REF!</definedName>
    <definedName name="HRONPKTM">#REF!</definedName>
    <definedName name="IM_Allocators" localSheetId="20">#REF!</definedName>
    <definedName name="IM_Allocators" localSheetId="1">#REF!</definedName>
    <definedName name="IM_Allocators" localSheetId="13">#REF!</definedName>
    <definedName name="IM_Allocators" localSheetId="18">#REF!</definedName>
    <definedName name="IM_Allocators" localSheetId="21">#REF!</definedName>
    <definedName name="IM_Allocators" localSheetId="24">TCOS!#REF!</definedName>
    <definedName name="IM_Allocators" localSheetId="6">#REF!</definedName>
    <definedName name="IM_Allocators">TCOS!#REF!</definedName>
    <definedName name="IMCO" localSheetId="21">#REF!</definedName>
    <definedName name="IMCO" localSheetId="6">#REF!</definedName>
    <definedName name="IMCO">#REF!</definedName>
    <definedName name="InterruptCapacity" localSheetId="21">#REF!</definedName>
    <definedName name="InterruptCapacity" localSheetId="6">#REF!</definedName>
    <definedName name="InterruptCapacity">#REF!</definedName>
    <definedName name="InterruptOfpCapacity" localSheetId="21">#REF!</definedName>
    <definedName name="InterruptOfpCapacity" localSheetId="6">#REF!</definedName>
    <definedName name="InterruptOfpCapacity">#REF!</definedName>
    <definedName name="InterruptType" localSheetId="21">#REF!</definedName>
    <definedName name="InterruptType">#REF!</definedName>
    <definedName name="INTRPBLCAP" localSheetId="21">#REF!</definedName>
    <definedName name="INTRPBLCAP">#REF!</definedName>
    <definedName name="Invdetails" localSheetId="21">#REF!</definedName>
    <definedName name="Invdetails">#REF!</definedName>
    <definedName name="KWCHG" localSheetId="21">#REF!</definedName>
    <definedName name="KWCHG">#REF!</definedName>
    <definedName name="KWH1NOCMM" localSheetId="21">#REF!</definedName>
    <definedName name="KWH1NOCMM">#REF!</definedName>
    <definedName name="KWH3NOCMM" localSheetId="21">#REF!</definedName>
    <definedName name="KWH3NOCMM">#REF!</definedName>
    <definedName name="KWHCHG" localSheetId="21">#REF!</definedName>
    <definedName name="KWHCHG">#REF!</definedName>
    <definedName name="LASTDAY" localSheetId="21">#REF!</definedName>
    <definedName name="LASTDAY">#REF!</definedName>
    <definedName name="LASTFUEL" localSheetId="21">#REF!</definedName>
    <definedName name="LASTFUEL">#REF!</definedName>
    <definedName name="LASTMSRR" localSheetId="21">#REF!</definedName>
    <definedName name="LASTMSRR">#REF!</definedName>
    <definedName name="LASTPFCC" localSheetId="21">#REF!</definedName>
    <definedName name="LASTPFCC">#REF!</definedName>
    <definedName name="LDFCTR" localSheetId="21">#REF!</definedName>
    <definedName name="LDFCTR">#REF!</definedName>
    <definedName name="LRCREDIT" localSheetId="21">#REF!</definedName>
    <definedName name="LRCREDIT">#REF!</definedName>
    <definedName name="M_A" localSheetId="20">#REF!</definedName>
    <definedName name="M_A" localSheetId="1">#REF!</definedName>
    <definedName name="M_A" localSheetId="13">#REF!</definedName>
    <definedName name="M_A" localSheetId="18">#REF!</definedName>
    <definedName name="M_A" localSheetId="21">#REF!</definedName>
    <definedName name="M_A" localSheetId="24">'WS I RESERVED'!#REF!</definedName>
    <definedName name="M_A" localSheetId="6">#REF!</definedName>
    <definedName name="M_A">'WS I RESERVED'!#REF!</definedName>
    <definedName name="MACC1" localSheetId="21">#REF!</definedName>
    <definedName name="MACC1" localSheetId="6">#REF!</definedName>
    <definedName name="MACC1">#REF!</definedName>
    <definedName name="MACC2" localSheetId="21">#REF!</definedName>
    <definedName name="MACC2" localSheetId="6">#REF!</definedName>
    <definedName name="MACC2">#REF!</definedName>
    <definedName name="MAINTHRSCRMO" localSheetId="21">#REF!</definedName>
    <definedName name="MAINTHRSCRMO" localSheetId="6">#REF!</definedName>
    <definedName name="MAINTHRSCRMO">#REF!</definedName>
    <definedName name="MAINTKWH" localSheetId="21">#REF!</definedName>
    <definedName name="MAINTKWH">#REF!</definedName>
    <definedName name="MinBillDem" localSheetId="21">#REF!</definedName>
    <definedName name="MinBillDem">#REF!</definedName>
    <definedName name="MinBillDem2" localSheetId="21">#REF!</definedName>
    <definedName name="MinBillDem2">#REF!</definedName>
    <definedName name="MinBillDmd" localSheetId="21">#REF!</definedName>
    <definedName name="MinBillDmd">#REF!</definedName>
    <definedName name="MSRRBLD" localSheetId="21">#REF!</definedName>
    <definedName name="MSRRBLD">#REF!</definedName>
    <definedName name="MSRRCHG" localSheetId="21">#REF!</definedName>
    <definedName name="MSRRCHG">#REF!</definedName>
    <definedName name="MTRMLTPLR1" localSheetId="21">#REF!</definedName>
    <definedName name="MTRMLTPLR1">#REF!</definedName>
    <definedName name="MTRMLTPLR2" localSheetId="21">#REF!</definedName>
    <definedName name="MTRMLTPLR2">#REF!</definedName>
    <definedName name="NETMRGCHG" localSheetId="21">#REF!</definedName>
    <definedName name="NETMRGCHG">#REF!</definedName>
    <definedName name="NODAYSINPRD" localSheetId="21">#REF!</definedName>
    <definedName name="NODAYSINPRD">#REF!</definedName>
    <definedName name="NODELPOINTS" localSheetId="21">#REF!</definedName>
    <definedName name="NODELPOINTS">#REF!</definedName>
    <definedName name="NP_h" localSheetId="20">#REF!</definedName>
    <definedName name="NP_h" localSheetId="1">#REF!</definedName>
    <definedName name="NP_h" localSheetId="13">#REF!</definedName>
    <definedName name="NP_h" localSheetId="18">#REF!</definedName>
    <definedName name="NP_h" localSheetId="21">#REF!</definedName>
    <definedName name="NP_h" localSheetId="6">#REF!</definedName>
    <definedName name="NP_h">TCOS!$J$82</definedName>
    <definedName name="NP_h1" localSheetId="21">#REF!</definedName>
    <definedName name="NP_h1" localSheetId="6">#REF!</definedName>
    <definedName name="NP_h1">#REF!</definedName>
    <definedName name="NPh" localSheetId="13">#REF!</definedName>
    <definedName name="NPh">TCOS!$J$82</definedName>
    <definedName name="NvsASD">"V2006-12-31"</definedName>
    <definedName name="NvsAutoDrillOk">"VN"</definedName>
    <definedName name="NvsElapsedTime" localSheetId="21">0.000231481484661344</definedName>
    <definedName name="NvsElapsedTime">0.000231481484661344</definedName>
    <definedName name="NvsEndTime" localSheetId="21">39091.5909490741</definedName>
    <definedName name="NvsEndTime">39091.5909490741</definedName>
    <definedName name="NvsInstLang">"VENG"</definedName>
    <definedName name="NvsInstSpec">"%"</definedName>
    <definedName name="NvsInstSpec1">","</definedName>
    <definedName name="NvsInstSpec2">","</definedName>
    <definedName name="NvsInstSpec3">","</definedName>
    <definedName name="NvsInstSpec4">","</definedName>
    <definedName name="NvsInstSpec5">","</definedName>
    <definedName name="NvsInstSpec6">","</definedName>
    <definedName name="NvsInstSpec7">","</definedName>
    <definedName name="NvsInstSpec8">","</definedName>
    <definedName name="NvsInstSpec9">","</definedName>
    <definedName name="NvsLayoutType">"M3"</definedName>
    <definedName name="NvsNplSpec">"%,X,RZF..,CNF.."</definedName>
    <definedName name="NvsPanelBusUnit">"V100"</definedName>
    <definedName name="NvsPanelEffdt">"V2004-06-30"</definedName>
    <definedName name="NvsPanelSetid">"VAEP"</definedName>
    <definedName name="NvsReqBU">"VX999"</definedName>
    <definedName name="NvsReqBUOnly">"VN"</definedName>
    <definedName name="NvsTransLed">"VN"</definedName>
    <definedName name="NvsTreeASD">"V2099-01-01"</definedName>
    <definedName name="NvsValTbl.ACCOUNT">"GL_ACCOUNT_TBL"</definedName>
    <definedName name="NvsValTbl.AEP_STATE_JURIS">"AEP_ST_JD_TBL"</definedName>
    <definedName name="NvsValTbl.CURRENCY_CD">"CURRENCY_CD_TBL"</definedName>
    <definedName name="OFPCBLKW" localSheetId="21">#REF!</definedName>
    <definedName name="OFPCBLKW" localSheetId="6">#REF!</definedName>
    <definedName name="OFPCBLKW">#REF!</definedName>
    <definedName name="OFPKBILLKWH" localSheetId="21">#REF!</definedName>
    <definedName name="OFPKBILLKWH" localSheetId="6">#REF!</definedName>
    <definedName name="OFPKBILLKWH">#REF!</definedName>
    <definedName name="OFPKCGNKWH" localSheetId="21">#REF!</definedName>
    <definedName name="OFPKCGNKWH" localSheetId="6">#REF!</definedName>
    <definedName name="OFPKCGNKWH">#REF!</definedName>
    <definedName name="OFPKCNTRCTCPCT" localSheetId="21">#REF!</definedName>
    <definedName name="OFPKCNTRCTCPCT">#REF!</definedName>
    <definedName name="OFPKDMPKWH" localSheetId="21">#REF!</definedName>
    <definedName name="OFPKDMPKWH">#REF!</definedName>
    <definedName name="OFPKDSCRKWH" localSheetId="21">#REF!</definedName>
    <definedName name="OFPKDSCRKWH">#REF!</definedName>
    <definedName name="OFPKDT" localSheetId="21">#REF!</definedName>
    <definedName name="OFPKDT">#REF!</definedName>
    <definedName name="OFPKEXCSKW" localSheetId="21">#REF!</definedName>
    <definedName name="OFPKEXCSKW">#REF!</definedName>
    <definedName name="OFPKINCRKWH" localSheetId="21">#REF!</definedName>
    <definedName name="OFPKINCRKWH">#REF!</definedName>
    <definedName name="OFPKKVADT" localSheetId="21">#REF!</definedName>
    <definedName name="OFPKKVADT">#REF!</definedName>
    <definedName name="OFPKKVATM" localSheetId="21">#REF!</definedName>
    <definedName name="OFPKKVATM">#REF!</definedName>
    <definedName name="OFPKKVW" localSheetId="21">#REF!</definedName>
    <definedName name="OFPKKVW">#REF!</definedName>
    <definedName name="OFPKKW" localSheetId="21">#REF!</definedName>
    <definedName name="OFPKKW">#REF!</definedName>
    <definedName name="OFPKKWH1NOCMM" localSheetId="21">#REF!</definedName>
    <definedName name="OFPKKWH1NOCMM">#REF!</definedName>
    <definedName name="OFPKKWH3NOCMM" localSheetId="21">#REF!</definedName>
    <definedName name="OFPKKWH3NOCMM">#REF!</definedName>
    <definedName name="OFPKRCRDKWH" localSheetId="21">#REF!</definedName>
    <definedName name="OFPKRCRDKWH">#REF!</definedName>
    <definedName name="OFPKTM" localSheetId="21">#REF!</definedName>
    <definedName name="OFPKTM">#REF!</definedName>
    <definedName name="OFPXCSKW" localSheetId="21">#REF!</definedName>
    <definedName name="OFPXCSKW">#REF!</definedName>
    <definedName name="OFPXCSKWDT" localSheetId="21">#REF!</definedName>
    <definedName name="OFPXCSKWDT">#REF!</definedName>
    <definedName name="OFPXCSKWH" localSheetId="21">#REF!</definedName>
    <definedName name="OFPXCSKWH">#REF!</definedName>
    <definedName name="OFPXCSKWTM" localSheetId="21">#REF!</definedName>
    <definedName name="OFPXCSKWTM">#REF!</definedName>
    <definedName name="ONPKBILLKWH" localSheetId="21">#REF!</definedName>
    <definedName name="ONPKBILLKWH">#REF!</definedName>
    <definedName name="ONPKCAPB" localSheetId="21">#REF!</definedName>
    <definedName name="ONPKCAPB">#REF!</definedName>
    <definedName name="ONPKCGNKWH" localSheetId="21">#REF!</definedName>
    <definedName name="ONPKCGNKWH">#REF!</definedName>
    <definedName name="ONPKCNTRCTCPCT" localSheetId="21">#REF!</definedName>
    <definedName name="ONPKCNTRCTCPCT">#REF!</definedName>
    <definedName name="ONPKDMPKWH" localSheetId="21">#REF!</definedName>
    <definedName name="ONPKDMPKWH">#REF!</definedName>
    <definedName name="ONPKDSCRKWH" localSheetId="21">#REF!</definedName>
    <definedName name="ONPKDSCRKWH">#REF!</definedName>
    <definedName name="ONPKDT" localSheetId="21">#REF!</definedName>
    <definedName name="ONPKDT">#REF!</definedName>
    <definedName name="ONPKINCRKWH" localSheetId="21">#REF!</definedName>
    <definedName name="ONPKINCRKWH">#REF!</definedName>
    <definedName name="ONPKKVA" localSheetId="21">#REF!</definedName>
    <definedName name="ONPKKVA">#REF!</definedName>
    <definedName name="ONPKKVADT" localSheetId="21">#REF!</definedName>
    <definedName name="ONPKKVADT">#REF!</definedName>
    <definedName name="ONPKKVATM" localSheetId="21">#REF!</definedName>
    <definedName name="ONPKKVATM">#REF!</definedName>
    <definedName name="ONPKKW" localSheetId="21">#REF!</definedName>
    <definedName name="ONPKKW">#REF!</definedName>
    <definedName name="ONPKKWH1NOCMM" localSheetId="21">#REF!</definedName>
    <definedName name="ONPKKWH1NOCMM">#REF!</definedName>
    <definedName name="ONPKKWH3NOCMM" localSheetId="21">#REF!</definedName>
    <definedName name="ONPKKWH3NOCMM">#REF!</definedName>
    <definedName name="ONPKRCRDKWH" localSheetId="21">#REF!</definedName>
    <definedName name="ONPKRCRDKWH">#REF!</definedName>
    <definedName name="ONPKTM" localSheetId="21">#REF!</definedName>
    <definedName name="ONPKTM">#REF!</definedName>
    <definedName name="OPCBLKW" localSheetId="21">#REF!</definedName>
    <definedName name="OPCBLKW">#REF!</definedName>
    <definedName name="OPCO" localSheetId="21">#REF!</definedName>
    <definedName name="OPCO">#REF!</definedName>
    <definedName name="OPXCSKW" localSheetId="21">#REF!</definedName>
    <definedName name="OPXCSKW">#REF!</definedName>
    <definedName name="OPXCSKWDT" localSheetId="21">#REF!</definedName>
    <definedName name="OPXCSKWDT">#REF!</definedName>
    <definedName name="OPXCSKWH" localSheetId="21">#REF!</definedName>
    <definedName name="OPXCSKWH">#REF!</definedName>
    <definedName name="OPXCSKWTM" localSheetId="21">#REF!</definedName>
    <definedName name="OPXCSKWTM">#REF!</definedName>
    <definedName name="OTHRTRNSKWH" localSheetId="21">#REF!</definedName>
    <definedName name="OTHRTRNSKWH">#REF!</definedName>
    <definedName name="P1PENPERC" localSheetId="21">#REF!</definedName>
    <definedName name="P1PENPERC">#REF!</definedName>
    <definedName name="P2PENPERC" localSheetId="21">#REF!</definedName>
    <definedName name="P2PENPERC">#REF!</definedName>
    <definedName name="PeakDemandChg" localSheetId="21">#REF!</definedName>
    <definedName name="PeakDemandChg">#REF!</definedName>
    <definedName name="PenaltyDays" localSheetId="21">#REF!</definedName>
    <definedName name="PenaltyDays">#REF!</definedName>
    <definedName name="PenaltyPct" localSheetId="21">#REF!</definedName>
    <definedName name="PenaltyPct">#REF!</definedName>
    <definedName name="PENDAYS" localSheetId="21">#REF!</definedName>
    <definedName name="PENDAYS">#REF!</definedName>
    <definedName name="PENDAYS2" localSheetId="21">#REF!</definedName>
    <definedName name="PENDAYS2">#REF!</definedName>
    <definedName name="PFCC" localSheetId="21">#REF!</definedName>
    <definedName name="PFCC">#REF!</definedName>
    <definedName name="PKKVAR" localSheetId="21">#REF!</definedName>
    <definedName name="PKKVAR">#REF!</definedName>
    <definedName name="PKKVARDATE" localSheetId="21">#REF!</definedName>
    <definedName name="PKKVARDATE">#REF!</definedName>
    <definedName name="PKKVARTIME" localSheetId="21">#REF!</definedName>
    <definedName name="PKKVARTIME">#REF!</definedName>
    <definedName name="PLVLKWH1" localSheetId="21">#REF!</definedName>
    <definedName name="PLVLKWH1">#REF!</definedName>
    <definedName name="PLVLKWH1A" localSheetId="21">#REF!</definedName>
    <definedName name="PLVLKWH1A">#REF!</definedName>
    <definedName name="PLVLKWH2" localSheetId="21">#REF!</definedName>
    <definedName name="PLVLKWH2">#REF!</definedName>
    <definedName name="PLVLKWH23A" localSheetId="21">#REF!</definedName>
    <definedName name="PLVLKWH23A">#REF!</definedName>
    <definedName name="PLVLKWH25" localSheetId="21">#REF!</definedName>
    <definedName name="PLVLKWH25">#REF!</definedName>
    <definedName name="PLVLKWH2A" localSheetId="21">#REF!</definedName>
    <definedName name="PLVLKWH2A">#REF!</definedName>
    <definedName name="PLVLKWH3" localSheetId="21">#REF!</definedName>
    <definedName name="PLVLKWH3">#REF!</definedName>
    <definedName name="PLVLKWH3A" localSheetId="21">#REF!</definedName>
    <definedName name="PLVLKWH3A">#REF!</definedName>
    <definedName name="PLVLKWH4" localSheetId="21">#REF!</definedName>
    <definedName name="PLVLKWH4">#REF!</definedName>
    <definedName name="PLVLKWH4A" localSheetId="21">#REF!</definedName>
    <definedName name="PLVLKWH4A">#REF!</definedName>
    <definedName name="PRICEDESIG" localSheetId="21">#REF!</definedName>
    <definedName name="PRICEDESIG">#REF!</definedName>
    <definedName name="PriMoAddr1" localSheetId="21">#REF!</definedName>
    <definedName name="PriMoAddr1">#REF!</definedName>
    <definedName name="PriMoAddr2" localSheetId="21">#REF!</definedName>
    <definedName name="PriMoAddr2">#REF!</definedName>
    <definedName name="PriMoBTDetail" localSheetId="21">#REF!</definedName>
    <definedName name="PriMoBTDetail">#REF!</definedName>
    <definedName name="PriMoBuyThrgh_Sheet" localSheetId="21">#REF!</definedName>
    <definedName name="PriMoBuyThrgh_Sheet">#REF!</definedName>
    <definedName name="PriMoCityStZip" localSheetId="21">#REF!</definedName>
    <definedName name="PriMoCityStZip">#REF!</definedName>
    <definedName name="PriMoCustName" localSheetId="21">#REF!</definedName>
    <definedName name="PriMoCustName">#REF!</definedName>
    <definedName name="PriMoMtrMult" localSheetId="21">#REF!</definedName>
    <definedName name="PriMoMtrMult">#REF!</definedName>
    <definedName name="_xlnm.Print_Area" localSheetId="0">TCOS!$A$1:$L$369</definedName>
    <definedName name="_xlnm.Print_Area" localSheetId="20">'Worksheet O'!$A$1:$D$37</definedName>
    <definedName name="_xlnm.Print_Area" localSheetId="2">'WS B ADIT &amp; ITC'!$A$3:$I$56</definedName>
    <definedName name="_xlnm.Print_Area" localSheetId="8">'WS D IPP Credits'!$A$3:$E$28</definedName>
    <definedName name="_xlnm.Print_Area" localSheetId="9">'WS E Rev Credits'!$A$3:$K$38</definedName>
    <definedName name="_xlnm.Print_Area" localSheetId="10">'WS F Misc Exp'!$A$3:$G$73</definedName>
    <definedName name="_xlnm.Print_Area" localSheetId="11">'WS G  State Tax Rate'!$A$3:$H$34</definedName>
    <definedName name="_xlnm.Print_Area" localSheetId="12">'WS H-p1 Other Taxes'!$A$3:$M$71</definedName>
    <definedName name="_xlnm.Print_Area" localSheetId="13">'WS H-p2 Detail of Tax Amts'!$A$1:$I$112</definedName>
    <definedName name="_xlnm.Print_Area" localSheetId="14">'WS I RESERVED'!$A$3:$J$6</definedName>
    <definedName name="_xlnm.Print_Area" localSheetId="15">'WS J PROJECTED RTEP RR'!$A$1:$O$170</definedName>
    <definedName name="_xlnm.Print_Area" localSheetId="16">'WS K TRUE-UP RTEP RR'!$A$3:$P$166</definedName>
    <definedName name="_xlnm.Print_Area" localSheetId="17">'WS L RESERVED'!$A$3:$F$9</definedName>
    <definedName name="_xlnm.Print_Area" localSheetId="19">'WS N - Sale of Plant Held'!$A$3:$U$35</definedName>
    <definedName name="_xlnm.Print_Area" localSheetId="21">#REF!</definedName>
    <definedName name="_xlnm.Print_Area" localSheetId="22">'WS Q Cap Structure'!$A$1:$J$237</definedName>
    <definedName name="_xlnm.Print_Area" localSheetId="23">'WS R Interest'!$A$1:$L$61</definedName>
    <definedName name="_xlnm.Print_Area" localSheetId="24">'WS R Schedule 1A'!$A$1:$L$61</definedName>
    <definedName name="_xlnm.Print_Area" localSheetId="6">#REF!</definedName>
    <definedName name="_xlnm.Print_Area">#REF!</definedName>
    <definedName name="_xlnm.Print_Titles" localSheetId="1">'WS A - Rate Base Support'!$1:$5</definedName>
    <definedName name="_xlnm.Print_Titles" localSheetId="7">'WS C  - Working Capital'!$3:$9</definedName>
    <definedName name="_xlnm.Print_Titles" localSheetId="12">'WS H-p1 Other Taxes'!$3:$7</definedName>
    <definedName name="_xlnm.Print_Titles" localSheetId="13">'WS H-p2 Detail of Tax Amts'!$3:$6</definedName>
    <definedName name="_xlnm.Print_Titles" localSheetId="18">'WS M - Cost of Capital'!$1:$5</definedName>
    <definedName name="_xlnm.Print_Titles" localSheetId="21">'WS P Dep. Rates'!$5:$11</definedName>
    <definedName name="PRVCNT" localSheetId="21">#REF!</definedName>
    <definedName name="PRVCNT" localSheetId="6">#REF!</definedName>
    <definedName name="PRVCNT">#REF!</definedName>
    <definedName name="PRVDATE" localSheetId="21">#REF!</definedName>
    <definedName name="PRVDATE" localSheetId="6">#REF!</definedName>
    <definedName name="PRVDATE">#REF!</definedName>
    <definedName name="PRVFUEL" localSheetId="21">#REF!</definedName>
    <definedName name="PRVFUEL" localSheetId="6">#REF!</definedName>
    <definedName name="PRVFUEL">#REF!</definedName>
    <definedName name="PRVKW" localSheetId="21">#REF!</definedName>
    <definedName name="PRVKW">#REF!</definedName>
    <definedName name="PRVKWH" localSheetId="21">#REF!</definedName>
    <definedName name="PRVKWH">#REF!</definedName>
    <definedName name="PRVMSRR" localSheetId="21">#REF!</definedName>
    <definedName name="PRVMSRR">#REF!</definedName>
    <definedName name="PRVPFCC" localSheetId="21">#REF!</definedName>
    <definedName name="PRVPFCC">#REF!</definedName>
    <definedName name="PSO_Proj_Allocators" localSheetId="13">#REF!</definedName>
    <definedName name="PSO_Proj_Allocators" localSheetId="21">#REF!</definedName>
    <definedName name="PSO_Proj_Allocators">#REF!</definedName>
    <definedName name="PSOallocatorsP" localSheetId="21">#REF!</definedName>
    <definedName name="PSOallocatorsP">#REF!</definedName>
    <definedName name="PVHIOFPCBL" localSheetId="21">#REF!</definedName>
    <definedName name="PVHIOFPCBL">#REF!</definedName>
    <definedName name="PVHIOPCBL" localSheetId="21">#REF!</definedName>
    <definedName name="PVHIOPCBL">#REF!</definedName>
    <definedName name="RatchetFactor" localSheetId="21">#REF!</definedName>
    <definedName name="RatchetFactor">#REF!</definedName>
    <definedName name="RCRDRID" localSheetId="21">#REF!</definedName>
    <definedName name="RCRDRID">#REF!</definedName>
    <definedName name="RCTVHRS" localSheetId="21">#REF!</definedName>
    <definedName name="RCTVHRS">#REF!</definedName>
    <definedName name="RDRBLK1C" localSheetId="21">#REF!</definedName>
    <definedName name="RDRBLK1C">#REF!</definedName>
    <definedName name="RDRBLK1Q" localSheetId="21">#REF!</definedName>
    <definedName name="RDRBLK1Q">#REF!</definedName>
    <definedName name="RDRBLK2C" localSheetId="21">#REF!</definedName>
    <definedName name="RDRBLK2C">#REF!</definedName>
    <definedName name="RDRBLK2Q" localSheetId="21">#REF!</definedName>
    <definedName name="RDRBLK2Q">#REF!</definedName>
    <definedName name="RDRBLK3C" localSheetId="21">#REF!</definedName>
    <definedName name="RDRBLK3C">#REF!</definedName>
    <definedName name="RDRBLK3Q" localSheetId="21">#REF!</definedName>
    <definedName name="RDRBLK3Q">#REF!</definedName>
    <definedName name="RDRBLKTC" localSheetId="21">#REF!</definedName>
    <definedName name="RDRBLKTC">#REF!</definedName>
    <definedName name="RDRBLKTC1" localSheetId="21">#REF!</definedName>
    <definedName name="RDRBLKTC1">#REF!</definedName>
    <definedName name="RDRBLKTC10" localSheetId="21">#REF!</definedName>
    <definedName name="RDRBLKTC10">#REF!</definedName>
    <definedName name="RDRBLKTC11" localSheetId="21">#REF!</definedName>
    <definedName name="RDRBLKTC11">#REF!</definedName>
    <definedName name="RDRBLKTC12" localSheetId="21">#REF!</definedName>
    <definedName name="RDRBLKTC12">#REF!</definedName>
    <definedName name="RDRBLKTC13" localSheetId="21">#REF!</definedName>
    <definedName name="RDRBLKTC13">#REF!</definedName>
    <definedName name="RDRBLKTC14" localSheetId="21">#REF!</definedName>
    <definedName name="RDRBLKTC14">#REF!</definedName>
    <definedName name="RDRBLKTC15" localSheetId="21">#REF!</definedName>
    <definedName name="RDRBLKTC15">#REF!</definedName>
    <definedName name="RDRBLKTC16" localSheetId="21">#REF!</definedName>
    <definedName name="RDRBLKTC16">#REF!</definedName>
    <definedName name="RDRBLKTC17" localSheetId="21">#REF!</definedName>
    <definedName name="RDRBLKTC17">#REF!</definedName>
    <definedName name="RDRBLKTC18" localSheetId="21">#REF!</definedName>
    <definedName name="RDRBLKTC18">#REF!</definedName>
    <definedName name="RDRBLKTC19" localSheetId="21">#REF!</definedName>
    <definedName name="RDRBLKTC19">#REF!</definedName>
    <definedName name="RDRBLKTC2" localSheetId="21">#REF!</definedName>
    <definedName name="RDRBLKTC2">#REF!</definedName>
    <definedName name="RDRBLKTC20" localSheetId="21">#REF!</definedName>
    <definedName name="RDRBLKTC20">#REF!</definedName>
    <definedName name="RDRBLKTC3" localSheetId="21">#REF!</definedName>
    <definedName name="RDRBLKTC3">#REF!</definedName>
    <definedName name="RDRBLKTC4" localSheetId="21">#REF!</definedName>
    <definedName name="RDRBLKTC4">#REF!</definedName>
    <definedName name="RDRBLKTC5" localSheetId="21">#REF!</definedName>
    <definedName name="RDRBLKTC5">#REF!</definedName>
    <definedName name="RDRBLKTC6" localSheetId="21">#REF!</definedName>
    <definedName name="RDRBLKTC6">#REF!</definedName>
    <definedName name="RDRBLKTC7" localSheetId="21">#REF!</definedName>
    <definedName name="RDRBLKTC7">#REF!</definedName>
    <definedName name="RDRBLKTC8" localSheetId="21">#REF!</definedName>
    <definedName name="RDRBLKTC8">#REF!</definedName>
    <definedName name="RDRBLKTC9" localSheetId="21">#REF!</definedName>
    <definedName name="RDRBLKTC9">#REF!</definedName>
    <definedName name="RDRBLKTQ" localSheetId="21">#REF!</definedName>
    <definedName name="RDRBLKTQ">#REF!</definedName>
    <definedName name="RDRCODE" localSheetId="21">#REF!</definedName>
    <definedName name="RDRCODE">#REF!</definedName>
    <definedName name="RDRCYCLE" localSheetId="21">#REF!</definedName>
    <definedName name="RDRCYCLE">#REF!</definedName>
    <definedName name="RDRDATE" localSheetId="21">#REF!</definedName>
    <definedName name="RDRDATE">#REF!</definedName>
    <definedName name="RDRNAME" localSheetId="21">#REF!</definedName>
    <definedName name="RDRNAME">#REF!</definedName>
    <definedName name="RDRRATEB" localSheetId="21">#REF!</definedName>
    <definedName name="RDRRATEB">#REF!</definedName>
    <definedName name="RDRRATEB1" localSheetId="21">#REF!</definedName>
    <definedName name="RDRRATEB1">#REF!</definedName>
    <definedName name="RDRRATEB10" localSheetId="21">#REF!</definedName>
    <definedName name="RDRRATEB10">#REF!</definedName>
    <definedName name="RDRRATEB11" localSheetId="21">#REF!</definedName>
    <definedName name="RDRRATEB11">#REF!</definedName>
    <definedName name="RDRRATEB12" localSheetId="21">#REF!</definedName>
    <definedName name="RDRRATEB12">#REF!</definedName>
    <definedName name="RDRRATEB13" localSheetId="21">#REF!</definedName>
    <definedName name="RDRRATEB13">#REF!</definedName>
    <definedName name="RDRRATEB14" localSheetId="21">#REF!</definedName>
    <definedName name="RDRRATEB14">#REF!</definedName>
    <definedName name="RDRRATEB15" localSheetId="21">#REF!</definedName>
    <definedName name="RDRRATEB15">#REF!</definedName>
    <definedName name="RDRRATEB16" localSheetId="21">#REF!</definedName>
    <definedName name="RDRRATEB16">#REF!</definedName>
    <definedName name="RDRRATEB17" localSheetId="21">#REF!</definedName>
    <definedName name="RDRRATEB17">#REF!</definedName>
    <definedName name="RDRRATEB18" localSheetId="21">#REF!</definedName>
    <definedName name="RDRRATEB18">#REF!</definedName>
    <definedName name="RDRRATEB19" localSheetId="21">#REF!</definedName>
    <definedName name="RDRRATEB19">#REF!</definedName>
    <definedName name="RDRRATEB2" localSheetId="21">#REF!</definedName>
    <definedName name="RDRRATEB2">#REF!</definedName>
    <definedName name="RDRRATEB20" localSheetId="21">#REF!</definedName>
    <definedName name="RDRRATEB20">#REF!</definedName>
    <definedName name="RDRRATEB3" localSheetId="21">#REF!</definedName>
    <definedName name="RDRRATEB3">#REF!</definedName>
    <definedName name="RDRRATEB4" localSheetId="21">#REF!</definedName>
    <definedName name="RDRRATEB4">#REF!</definedName>
    <definedName name="RDRRATEB5" localSheetId="21">#REF!</definedName>
    <definedName name="RDRRATEB5">#REF!</definedName>
    <definedName name="RDRRATEB6" localSheetId="21">#REF!</definedName>
    <definedName name="RDRRATEB6">#REF!</definedName>
    <definedName name="RDRRATEB7" localSheetId="21">#REF!</definedName>
    <definedName name="RDRRATEB7">#REF!</definedName>
    <definedName name="RDRRATEB8" localSheetId="21">#REF!</definedName>
    <definedName name="RDRRATEB8">#REF!</definedName>
    <definedName name="RDRRATEB9" localSheetId="21">#REF!</definedName>
    <definedName name="RDRRATEB9">#REF!</definedName>
    <definedName name="RDRRATED" localSheetId="21">#REF!</definedName>
    <definedName name="RDRRATED">#REF!</definedName>
    <definedName name="RDRRATED1" localSheetId="21">#REF!</definedName>
    <definedName name="RDRRATED1">#REF!</definedName>
    <definedName name="RDRRATED10" localSheetId="21">#REF!</definedName>
    <definedName name="RDRRATED10">#REF!</definedName>
    <definedName name="RDRRATED11" localSheetId="21">#REF!</definedName>
    <definedName name="RDRRATED11">#REF!</definedName>
    <definedName name="RDRRATED12" localSheetId="21">#REF!</definedName>
    <definedName name="RDRRATED12">#REF!</definedName>
    <definedName name="RDRRATED13" localSheetId="21">#REF!</definedName>
    <definedName name="RDRRATED13">#REF!</definedName>
    <definedName name="RDRRATED14" localSheetId="21">#REF!</definedName>
    <definedName name="RDRRATED14">#REF!</definedName>
    <definedName name="RDRRATED15" localSheetId="21">#REF!</definedName>
    <definedName name="RDRRATED15">#REF!</definedName>
    <definedName name="RDRRATED16" localSheetId="21">#REF!</definedName>
    <definedName name="RDRRATED16">#REF!</definedName>
    <definedName name="RDRRATED17" localSheetId="21">#REF!</definedName>
    <definedName name="RDRRATED17">#REF!</definedName>
    <definedName name="RDRRATED18" localSheetId="21">#REF!</definedName>
    <definedName name="RDRRATED18">#REF!</definedName>
    <definedName name="RDRRATED19" localSheetId="21">#REF!</definedName>
    <definedName name="RDRRATED19">#REF!</definedName>
    <definedName name="RDRRATED2" localSheetId="21">#REF!</definedName>
    <definedName name="RDRRATED2">#REF!</definedName>
    <definedName name="RDRRATED20" localSheetId="21">#REF!</definedName>
    <definedName name="RDRRATED20">#REF!</definedName>
    <definedName name="RDRRATED3" localSheetId="21">#REF!</definedName>
    <definedName name="RDRRATED3">#REF!</definedName>
    <definedName name="RDRRATED4" localSheetId="21">#REF!</definedName>
    <definedName name="RDRRATED4">#REF!</definedName>
    <definedName name="RDRRATED5" localSheetId="21">#REF!</definedName>
    <definedName name="RDRRATED5">#REF!</definedName>
    <definedName name="RDRRATED6" localSheetId="21">#REF!</definedName>
    <definedName name="RDRRATED6">#REF!</definedName>
    <definedName name="RDRRATED7" localSheetId="21">#REF!</definedName>
    <definedName name="RDRRATED7">#REF!</definedName>
    <definedName name="RDRRATED8" localSheetId="21">#REF!</definedName>
    <definedName name="RDRRATED8">#REF!</definedName>
    <definedName name="RDRRATED9" localSheetId="21">#REF!</definedName>
    <definedName name="RDRRATED9">#REF!</definedName>
    <definedName name="RDRRATEG" localSheetId="21">#REF!</definedName>
    <definedName name="RDRRATEG">#REF!</definedName>
    <definedName name="RDRRATEG1" localSheetId="21">#REF!</definedName>
    <definedName name="RDRRATEG1">#REF!</definedName>
    <definedName name="RDRRATEG10" localSheetId="21">#REF!</definedName>
    <definedName name="RDRRATEG10">#REF!</definedName>
    <definedName name="RDRRATEG11" localSheetId="21">#REF!</definedName>
    <definedName name="RDRRATEG11">#REF!</definedName>
    <definedName name="RDRRATEG12" localSheetId="21">#REF!</definedName>
    <definedName name="RDRRATEG12">#REF!</definedName>
    <definedName name="RDRRATEG13" localSheetId="21">#REF!</definedName>
    <definedName name="RDRRATEG13">#REF!</definedName>
    <definedName name="RDRRATEG14" localSheetId="21">#REF!</definedName>
    <definedName name="RDRRATEG14">#REF!</definedName>
    <definedName name="RDRRATEG15" localSheetId="21">#REF!</definedName>
    <definedName name="RDRRATEG15">#REF!</definedName>
    <definedName name="RDRRATEG16" localSheetId="21">#REF!</definedName>
    <definedName name="RDRRATEG16">#REF!</definedName>
    <definedName name="RDRRATEG17" localSheetId="21">#REF!</definedName>
    <definedName name="RDRRATEG17">#REF!</definedName>
    <definedName name="RDRRATEG18" localSheetId="21">#REF!</definedName>
    <definedName name="RDRRATEG18">#REF!</definedName>
    <definedName name="RDRRATEG19" localSheetId="21">#REF!</definedName>
    <definedName name="RDRRATEG19">#REF!</definedName>
    <definedName name="RDRRATEG2" localSheetId="21">#REF!</definedName>
    <definedName name="RDRRATEG2">#REF!</definedName>
    <definedName name="RDRRATEG20" localSheetId="21">#REF!</definedName>
    <definedName name="RDRRATEG20">#REF!</definedName>
    <definedName name="RDRRATEG3" localSheetId="21">#REF!</definedName>
    <definedName name="RDRRATEG3">#REF!</definedName>
    <definedName name="RDRRATEG4" localSheetId="21">#REF!</definedName>
    <definedName name="RDRRATEG4">#REF!</definedName>
    <definedName name="RDRRATEG5" localSheetId="21">#REF!</definedName>
    <definedName name="RDRRATEG5">#REF!</definedName>
    <definedName name="RDRRATEG6" localSheetId="21">#REF!</definedName>
    <definedName name="RDRRATEG6">#REF!</definedName>
    <definedName name="RDRRATEG7" localSheetId="21">#REF!</definedName>
    <definedName name="RDRRATEG7">#REF!</definedName>
    <definedName name="RDRRATEG8" localSheetId="21">#REF!</definedName>
    <definedName name="RDRRATEG8">#REF!</definedName>
    <definedName name="RDRRATEG9" localSheetId="21">#REF!</definedName>
    <definedName name="RDRRATEG9">#REF!</definedName>
    <definedName name="RDRRATET" localSheetId="21">#REF!</definedName>
    <definedName name="RDRRATET">#REF!</definedName>
    <definedName name="RDRRATET1" localSheetId="21">#REF!</definedName>
    <definedName name="RDRRATET1">#REF!</definedName>
    <definedName name="RDRRATET10" localSheetId="21">#REF!</definedName>
    <definedName name="RDRRATET10">#REF!</definedName>
    <definedName name="RDRRATET11" localSheetId="21">#REF!</definedName>
    <definedName name="RDRRATET11">#REF!</definedName>
    <definedName name="RDRRATET12" localSheetId="21">#REF!</definedName>
    <definedName name="RDRRATET12">#REF!</definedName>
    <definedName name="RDRRATET13" localSheetId="21">#REF!</definedName>
    <definedName name="RDRRATET13">#REF!</definedName>
    <definedName name="RDRRATET14" localSheetId="21">#REF!</definedName>
    <definedName name="RDRRATET14">#REF!</definedName>
    <definedName name="RDRRATET15" localSheetId="21">#REF!</definedName>
    <definedName name="RDRRATET15">#REF!</definedName>
    <definedName name="RDRRATET16" localSheetId="21">#REF!</definedName>
    <definedName name="RDRRATET16">#REF!</definedName>
    <definedName name="RDRRATET17" localSheetId="21">#REF!</definedName>
    <definedName name="RDRRATET17">#REF!</definedName>
    <definedName name="RDRRATET18" localSheetId="21">#REF!</definedName>
    <definedName name="RDRRATET18">#REF!</definedName>
    <definedName name="RDRRATET19" localSheetId="21">#REF!</definedName>
    <definedName name="RDRRATET19">#REF!</definedName>
    <definedName name="RDRRATET2" localSheetId="21">#REF!</definedName>
    <definedName name="RDRRATET2">#REF!</definedName>
    <definedName name="RDRRATET20" localSheetId="21">#REF!</definedName>
    <definedName name="RDRRATET20">#REF!</definedName>
    <definedName name="RDRRATET3" localSheetId="21">#REF!</definedName>
    <definedName name="RDRRATET3">#REF!</definedName>
    <definedName name="RDRRATET4" localSheetId="21">#REF!</definedName>
    <definedName name="RDRRATET4">#REF!</definedName>
    <definedName name="RDRRATET5" localSheetId="21">#REF!</definedName>
    <definedName name="RDRRATET5">#REF!</definedName>
    <definedName name="RDRRATET6" localSheetId="21">#REF!</definedName>
    <definedName name="RDRRATET6">#REF!</definedName>
    <definedName name="RDRRATET7" localSheetId="21">#REF!</definedName>
    <definedName name="RDRRATET7">#REF!</definedName>
    <definedName name="RDRRATET8" localSheetId="21">#REF!</definedName>
    <definedName name="RDRRATET8">#REF!</definedName>
    <definedName name="RDRRATET9" localSheetId="21">#REF!</definedName>
    <definedName name="RDRRATET9">#REF!</definedName>
    <definedName name="RDRTYPE" localSheetId="21">#REF!</definedName>
    <definedName name="RDRTYPE">#REF!</definedName>
    <definedName name="RDRUNITS" localSheetId="21">#REF!</definedName>
    <definedName name="RDRUNITS">#REF!</definedName>
    <definedName name="_xlnm.Recorder" localSheetId="21">#REF!</definedName>
    <definedName name="_xlnm.Recorder">#REF!</definedName>
    <definedName name="Reserved_Section" localSheetId="21">#REF!</definedName>
    <definedName name="Reserved_Section">#REF!</definedName>
    <definedName name="RIDERS" localSheetId="21">#REF!</definedName>
    <definedName name="RIDERS">#REF!</definedName>
    <definedName name="RKVAHRDNG" localSheetId="21">#REF!</definedName>
    <definedName name="RKVAHRDNG">#REF!</definedName>
    <definedName name="RTCHTCNTRCTCPCT" localSheetId="21">#REF!</definedName>
    <definedName name="RTCHTCNTRCTCPCT">#REF!</definedName>
    <definedName name="RTCHTFCTR" localSheetId="21">#REF!</definedName>
    <definedName name="RTCHTFCTR">#REF!</definedName>
    <definedName name="RTCHTFCTR2" localSheetId="21">#REF!</definedName>
    <definedName name="RTCHTFCTR2">#REF!</definedName>
    <definedName name="RTCHTHIPREVKW" localSheetId="21">#REF!</definedName>
    <definedName name="RTCHTHIPREVKW">#REF!</definedName>
    <definedName name="RTP_Detail" localSheetId="21">#REF!</definedName>
    <definedName name="RTP_Detail">#REF!</definedName>
    <definedName name="RTPLRKW" localSheetId="21">#REF!</definedName>
    <definedName name="RTPLRKW">#REF!</definedName>
    <definedName name="SDI" localSheetId="21">#REF!</definedName>
    <definedName name="SDI">#REF!</definedName>
    <definedName name="SHLDRPKKW" localSheetId="21">#REF!</definedName>
    <definedName name="SHLDRPKKW">#REF!</definedName>
    <definedName name="SHLDRPKKWDT" localSheetId="21">#REF!</definedName>
    <definedName name="SHLDRPKKWDT">#REF!</definedName>
    <definedName name="SHLDRPKKWTM" localSheetId="21">#REF!</definedName>
    <definedName name="SHLDRPKKWTM">#REF!</definedName>
    <definedName name="SHRDTRNSKWH" localSheetId="21">#REF!</definedName>
    <definedName name="SHRDTRNSKWH">#REF!</definedName>
    <definedName name="SRPLSKWH" localSheetId="21">#REF!</definedName>
    <definedName name="SRPLSKWH">#REF!</definedName>
    <definedName name="STARTDTM" localSheetId="21">#REF!</definedName>
    <definedName name="STARTDTM">#REF!</definedName>
    <definedName name="State" localSheetId="21">#REF!</definedName>
    <definedName name="State">#REF!</definedName>
    <definedName name="STDKW" localSheetId="21">#REF!</definedName>
    <definedName name="STDKW">#REF!</definedName>
    <definedName name="STDKWDT" localSheetId="21">#REF!</definedName>
    <definedName name="STDKWDT">#REF!</definedName>
    <definedName name="STDKWTM" localSheetId="21">#REF!</definedName>
    <definedName name="STDKWTM">#REF!</definedName>
    <definedName name="STRTTIME" localSheetId="21">#REF!</definedName>
    <definedName name="STRTTIME">#REF!</definedName>
    <definedName name="SWP_Proj_Allocators" localSheetId="21">#REF!</definedName>
    <definedName name="SWP_Proj_Allocators">#REF!</definedName>
    <definedName name="SWPallocatorsH" localSheetId="21">#REF!</definedName>
    <definedName name="SWPallocatorsH">#REF!</definedName>
    <definedName name="SWPallocatorsP" localSheetId="21">#REF!</definedName>
    <definedName name="SWPallocatorsP">#REF!</definedName>
    <definedName name="SYSPKKW" localSheetId="21">#REF!</definedName>
    <definedName name="SYSPKKW">#REF!</definedName>
    <definedName name="SYSPKKWDT" localSheetId="21">#REF!</definedName>
    <definedName name="SYSPKKWDT">#REF!</definedName>
    <definedName name="SYSPKKWTM" localSheetId="21">#REF!</definedName>
    <definedName name="SYSPKKWTM">#REF!</definedName>
    <definedName name="TARIFF1" localSheetId="21">#REF!</definedName>
    <definedName name="TARIFF1">#REF!</definedName>
    <definedName name="TARIFF2" localSheetId="21">#REF!</definedName>
    <definedName name="TARIFF2">#REF!</definedName>
    <definedName name="TariffCode" localSheetId="21">#REF!</definedName>
    <definedName name="TariffCode">#REF!</definedName>
    <definedName name="TariffLongName" localSheetId="21">#REF!</definedName>
    <definedName name="TariffLongName">#REF!</definedName>
    <definedName name="TariffShortName" localSheetId="21">#REF!</definedName>
    <definedName name="TariffShortName">#REF!</definedName>
    <definedName name="TAXDATE" localSheetId="21">#REF!</definedName>
    <definedName name="TAXDATE">#REF!</definedName>
    <definedName name="TAXES" localSheetId="21">#REF!</definedName>
    <definedName name="TAXES">#REF!</definedName>
    <definedName name="TAXNAME" localSheetId="21">#REF!</definedName>
    <definedName name="TAXNAME">#REF!</definedName>
    <definedName name="TAXRATE" localSheetId="21">#REF!</definedName>
    <definedName name="TAXRATE">#REF!</definedName>
    <definedName name="TAXTYPE" localSheetId="21">#REF!</definedName>
    <definedName name="TAXTYPE">#REF!</definedName>
    <definedName name="TCst" localSheetId="21">#REF!</definedName>
    <definedName name="TCst">#REF!</definedName>
    <definedName name="TCst1" localSheetId="21">#REF!</definedName>
    <definedName name="TCst1">#REF!</definedName>
    <definedName name="TIRPCCHG" localSheetId="21">#REF!</definedName>
    <definedName name="TIRPCCHG">#REF!</definedName>
    <definedName name="TIRPDCHG1" localSheetId="21">#REF!</definedName>
    <definedName name="TIRPDCHG1">#REF!</definedName>
    <definedName name="TIRPDCHG2" localSheetId="21">#REF!</definedName>
    <definedName name="TIRPDCHG2">#REF!</definedName>
    <definedName name="TIRPECHG1" localSheetId="21">#REF!</definedName>
    <definedName name="TIRPECHG1">#REF!</definedName>
    <definedName name="TIRPECHGB1" localSheetId="21">#REF!</definedName>
    <definedName name="TIRPECHGB1">#REF!</definedName>
    <definedName name="TIRPECHGB2" localSheetId="21">#REF!</definedName>
    <definedName name="TIRPECHGB2">#REF!</definedName>
    <definedName name="TIRPECHGB3" localSheetId="21">#REF!</definedName>
    <definedName name="TIRPECHGB3">#REF!</definedName>
    <definedName name="TIRPMECHG1" localSheetId="21">#REF!</definedName>
    <definedName name="TIRPMECHG1">#REF!</definedName>
    <definedName name="TIRPMINDC" localSheetId="21">#REF!</definedName>
    <definedName name="TIRPMINDC">#REF!</definedName>
    <definedName name="TIRPMINEC" localSheetId="21">#REF!</definedName>
    <definedName name="TIRPMINEC">#REF!</definedName>
    <definedName name="TIRPOFKVA" localSheetId="21">#REF!</definedName>
    <definedName name="TIRPOFKVA">#REF!</definedName>
    <definedName name="TIRPOFKW" localSheetId="21">#REF!</definedName>
    <definedName name="TIRPOFKW">#REF!</definedName>
    <definedName name="TIRPOFKWH" localSheetId="21">#REF!</definedName>
    <definedName name="TIRPOFKWH">#REF!</definedName>
    <definedName name="TIRPOPKWH" localSheetId="21">#REF!</definedName>
    <definedName name="TIRPOPKWH">#REF!</definedName>
    <definedName name="TIRPP1EC" localSheetId="21">#REF!</definedName>
    <definedName name="TIRPP1EC">#REF!</definedName>
    <definedName name="TIRPP2EC" localSheetId="21">#REF!</definedName>
    <definedName name="TIRPP2EC">#REF!</definedName>
    <definedName name="TIRPP3EC" localSheetId="21">#REF!</definedName>
    <definedName name="TIRPP3EC">#REF!</definedName>
    <definedName name="TIRPP4EC" localSheetId="21">#REF!</definedName>
    <definedName name="TIRPP4EC">#REF!</definedName>
    <definedName name="TIRPP5EC" localSheetId="21">#REF!</definedName>
    <definedName name="TIRPP5EC">#REF!</definedName>
    <definedName name="TIRPRCHG" localSheetId="21">#REF!</definedName>
    <definedName name="TIRPRCHG">#REF!</definedName>
    <definedName name="TLsFctr" localSheetId="21">#REF!</definedName>
    <definedName name="TLsFctr">#REF!</definedName>
    <definedName name="TRCRDKWH" localSheetId="21">#REF!</definedName>
    <definedName name="TRCRDKWH">#REF!</definedName>
    <definedName name="TRCRDKWH2P" localSheetId="21">#REF!</definedName>
    <definedName name="TRCRDKWH2P">#REF!</definedName>
    <definedName name="TRFDATE1" localSheetId="21">#REF!</definedName>
    <definedName name="TRFDATE1">#REF!</definedName>
    <definedName name="TRFDATE2" localSheetId="21">#REF!</definedName>
    <definedName name="TRFDATE2">#REF!</definedName>
    <definedName name="TRFNAME1" localSheetId="21">#REF!</definedName>
    <definedName name="TRFNAME1">#REF!</definedName>
    <definedName name="TRFNAME2" localSheetId="21">#REF!</definedName>
    <definedName name="TRFNAME2">#REF!</definedName>
    <definedName name="TRFSHORTNM1" localSheetId="21">#REF!</definedName>
    <definedName name="TRFSHORTNM1">#REF!</definedName>
    <definedName name="TRFSHORTNM2" localSheetId="21">#REF!</definedName>
    <definedName name="TRFSHORTNM2">#REF!</definedName>
    <definedName name="TrnBlkKwhChg1" localSheetId="21">#REF!</definedName>
    <definedName name="TrnBlkKwhChg1">#REF!</definedName>
    <definedName name="TrnBlkKwhChg2" localSheetId="21">#REF!</definedName>
    <definedName name="TrnBlkKwhChg2">#REF!</definedName>
    <definedName name="TrnBlkKwhChg3" localSheetId="21">#REF!</definedName>
    <definedName name="TrnBlkKwhChg3">#REF!</definedName>
    <definedName name="TrnBlkKwhChgT" localSheetId="21">#REF!</definedName>
    <definedName name="TrnBlkKwhChgT">#REF!</definedName>
    <definedName name="TRNCCHG" localSheetId="21">#REF!</definedName>
    <definedName name="TRNCCHG">#REF!</definedName>
    <definedName name="TrnCustChg" localSheetId="21">#REF!</definedName>
    <definedName name="TrnCustChg">#REF!</definedName>
    <definedName name="TRNDCHG1" localSheetId="21">#REF!</definedName>
    <definedName name="TRNDCHG1">#REF!</definedName>
    <definedName name="TRNDCHG2" localSheetId="21">#REF!</definedName>
    <definedName name="TRNDCHG2">#REF!</definedName>
    <definedName name="TrnDmdChg1" localSheetId="21">#REF!</definedName>
    <definedName name="TrnDmdChg1">#REF!</definedName>
    <definedName name="TrnDmdChg2" localSheetId="21">#REF!</definedName>
    <definedName name="TrnDmdChg2">#REF!</definedName>
    <definedName name="TRNECHG1" localSheetId="21">#REF!</definedName>
    <definedName name="TRNECHG1">#REF!</definedName>
    <definedName name="TRNECHGB1" localSheetId="21">#REF!</definedName>
    <definedName name="TRNECHGB1">#REF!</definedName>
    <definedName name="TRNECHGB2" localSheetId="21">#REF!</definedName>
    <definedName name="TRNECHGB2">#REF!</definedName>
    <definedName name="TRNECHGB3" localSheetId="21">#REF!</definedName>
    <definedName name="TRNECHGB3">#REF!</definedName>
    <definedName name="TrnMEChg" localSheetId="21">#REF!</definedName>
    <definedName name="TrnMEChg">#REF!</definedName>
    <definedName name="TRNMECHG1" localSheetId="21">#REF!</definedName>
    <definedName name="TRNMECHG1">#REF!</definedName>
    <definedName name="TRNMINDC" localSheetId="21">#REF!</definedName>
    <definedName name="TRNMINDC">#REF!</definedName>
    <definedName name="TrnMinDChg" localSheetId="21">#REF!</definedName>
    <definedName name="TrnMinDChg">#REF!</definedName>
    <definedName name="TRNMINEC" localSheetId="21">#REF!</definedName>
    <definedName name="TRNMINEC">#REF!</definedName>
    <definedName name="TrnMinEChg" localSheetId="21">#REF!</definedName>
    <definedName name="TrnMinEChg">#REF!</definedName>
    <definedName name="TrnOffPkKwh" localSheetId="21">#REF!</definedName>
    <definedName name="TrnOffPkKwh">#REF!</definedName>
    <definedName name="TRNOFKWH" localSheetId="21">#REF!</definedName>
    <definedName name="TRNOFKWH">#REF!</definedName>
    <definedName name="TrnOnPkKwh" localSheetId="21">#REF!</definedName>
    <definedName name="TrnOnPkKwh">#REF!</definedName>
    <definedName name="TRNOPKWH" localSheetId="21">#REF!</definedName>
    <definedName name="TRNOPKWH">#REF!</definedName>
    <definedName name="TRNP1EC" localSheetId="21">#REF!</definedName>
    <definedName name="TRNP1EC">#REF!</definedName>
    <definedName name="TRNP2EC" localSheetId="21">#REF!</definedName>
    <definedName name="TRNP2EC">#REF!</definedName>
    <definedName name="TRNP3EC" localSheetId="21">#REF!</definedName>
    <definedName name="TRNP3EC">#REF!</definedName>
    <definedName name="TRNP4EC" localSheetId="21">#REF!</definedName>
    <definedName name="TRNP4EC">#REF!</definedName>
    <definedName name="TRNP5EC" localSheetId="21">#REF!</definedName>
    <definedName name="TRNP5EC">#REF!</definedName>
    <definedName name="TrnPL1Chg" localSheetId="21">#REF!</definedName>
    <definedName name="TrnPL1Chg">#REF!</definedName>
    <definedName name="TrnPL2Chg" localSheetId="21">#REF!</definedName>
    <definedName name="TrnPL2Chg">#REF!</definedName>
    <definedName name="TrnPL3Chg" localSheetId="21">#REF!</definedName>
    <definedName name="TrnPL3Chg">#REF!</definedName>
    <definedName name="TrnPL4Chg" localSheetId="21">#REF!</definedName>
    <definedName name="TrnPL4Chg">#REF!</definedName>
    <definedName name="TrnPL5Chg" localSheetId="21">#REF!</definedName>
    <definedName name="TrnPL5Chg">#REF!</definedName>
    <definedName name="TRNRCHG" localSheetId="21">#REF!</definedName>
    <definedName name="TRNRCHG">#REF!</definedName>
    <definedName name="TrnReactiveChg" localSheetId="21">#REF!</definedName>
    <definedName name="TrnReactiveChg">#REF!</definedName>
    <definedName name="TRNSKWTOFPK" localSheetId="21">#REF!</definedName>
    <definedName name="TRNSKWTOFPK">#REF!</definedName>
    <definedName name="TRNSKWTONPK" localSheetId="21">#REF!</definedName>
    <definedName name="TRNSKWTONPK">#REF!</definedName>
    <definedName name="TRNXOFKVA" localSheetId="21">#REF!</definedName>
    <definedName name="TRNXOFKVA">#REF!</definedName>
    <definedName name="TRNXOFKW" localSheetId="21">#REF!</definedName>
    <definedName name="TRNXOFKW">#REF!</definedName>
    <definedName name="TrnXOfpKvaChg" localSheetId="21">#REF!</definedName>
    <definedName name="TrnXOfpKvaChg">#REF!</definedName>
    <definedName name="TrnXOfpKwChg" localSheetId="21">#REF!</definedName>
    <definedName name="TrnXOfpKwChg">#REF!</definedName>
    <definedName name="TTLBSRATETTL" localSheetId="21">#REF!</definedName>
    <definedName name="TTLBSRATETTL">#REF!</definedName>
    <definedName name="TTLCOGENKWH" localSheetId="21">#REF!</definedName>
    <definedName name="TTLCOGENKWH">#REF!</definedName>
    <definedName name="UNBUNDIND" localSheetId="21">#REF!</definedName>
    <definedName name="UNBUNDIND">#REF!</definedName>
    <definedName name="Z_3768C7C8_9953_11DA_B318_000FB55D51DC_.wvu.PrintArea" localSheetId="20" hidden="1">'Worksheet O'!#REF!</definedName>
    <definedName name="Z_3768C7C8_9953_11DA_B318_000FB55D51DC_.wvu.PrintArea" localSheetId="7" hidden="1">'WS C  - Working Capital'!$A$10:$N$80</definedName>
    <definedName name="Z_3768C7C8_9953_11DA_B318_000FB55D51DC_.wvu.PrintTitles" localSheetId="20" hidden="1">'Worksheet O'!#REF!</definedName>
    <definedName name="Z_3768C7C8_9953_11DA_B318_000FB55D51DC_.wvu.PrintTitles" localSheetId="7" hidden="1">'WS C  - Working Capital'!#REF!</definedName>
    <definedName name="Z_3768C7C8_9953_11DA_B318_000FB55D51DC_.wvu.Rows" localSheetId="20" hidden="1">'Worksheet O'!#REF!</definedName>
    <definedName name="Z_3768C7C8_9953_11DA_B318_000FB55D51DC_.wvu.Rows" localSheetId="7" hidden="1">'WS C  - Working Capital'!#REF!</definedName>
    <definedName name="Z_3BDD6235_B127_4929_8311_BDAF7BB89818_.wvu.PrintArea" localSheetId="20" hidden="1">'Worksheet O'!#REF!</definedName>
    <definedName name="Z_3BDD6235_B127_4929_8311_BDAF7BB89818_.wvu.PrintArea" localSheetId="7" hidden="1">'WS C  - Working Capital'!$A$10:$N$80</definedName>
    <definedName name="Z_3BDD6235_B127_4929_8311_BDAF7BB89818_.wvu.PrintTitles" localSheetId="20" hidden="1">'Worksheet O'!#REF!</definedName>
    <definedName name="Z_3BDD6235_B127_4929_8311_BDAF7BB89818_.wvu.PrintTitles" localSheetId="7" hidden="1">'WS C  - Working Capital'!#REF!</definedName>
    <definedName name="Z_3BDD6235_B127_4929_8311_BDAF7BB89818_.wvu.Rows" localSheetId="20" hidden="1">'Worksheet O'!#REF!</definedName>
    <definedName name="Z_3BDD6235_B127_4929_8311_BDAF7BB89818_.wvu.Rows" localSheetId="7" hidden="1">'WS C  - Working Capital'!#REF!</definedName>
    <definedName name="Z_B0241363_5C8A_48FC_89A6_56D55586BABE_.wvu.PrintArea" localSheetId="20" hidden="1">'Worksheet O'!#REF!</definedName>
    <definedName name="Z_B0241363_5C8A_48FC_89A6_56D55586BABE_.wvu.PrintArea" localSheetId="7" hidden="1">'WS C  - Working Capital'!$A$10:$N$80</definedName>
    <definedName name="Z_B0241363_5C8A_48FC_89A6_56D55586BABE_.wvu.PrintTitles" localSheetId="20" hidden="1">'Worksheet O'!#REF!</definedName>
    <definedName name="Z_B0241363_5C8A_48FC_89A6_56D55586BABE_.wvu.PrintTitles" localSheetId="7" hidden="1">'WS C  - Working Capital'!#REF!</definedName>
    <definedName name="Z_B0241363_5C8A_48FC_89A6_56D55586BABE_.wvu.Rows" localSheetId="20" hidden="1">'Worksheet O'!#REF!</definedName>
    <definedName name="Z_B0241363_5C8A_48FC_89A6_56D55586BABE_.wvu.Rows" localSheetId="7" hidden="1">'WS C  - Working Capital'!#REF!</definedName>
    <definedName name="Z_C0EA0F9F_7310_4201_82C9_7B8FC8DB9137_.wvu.PrintArea" localSheetId="20" hidden="1">'Worksheet O'!#REF!</definedName>
    <definedName name="Z_C0EA0F9F_7310_4201_82C9_7B8FC8DB9137_.wvu.PrintArea" localSheetId="7" hidden="1">'WS C  - Working Capital'!$A$10:$N$80</definedName>
    <definedName name="Z_C0EA0F9F_7310_4201_82C9_7B8FC8DB9137_.wvu.PrintTitles" localSheetId="20" hidden="1">'Worksheet O'!#REF!</definedName>
    <definedName name="Z_C0EA0F9F_7310_4201_82C9_7B8FC8DB9137_.wvu.PrintTitles" localSheetId="7" hidden="1">'WS C  - Working Capital'!#REF!</definedName>
    <definedName name="Z_C0EA0F9F_7310_4201_82C9_7B8FC8DB9137_.wvu.Rows" localSheetId="20" hidden="1">'Worksheet O'!#REF!</definedName>
    <definedName name="Z_C0EA0F9F_7310_4201_82C9_7B8FC8DB9137_.wvu.Rows" localSheetId="7" hidden="1">'WS C  - Working Capital'!#REF!</definedName>
    <definedName name="Z_C5140E12_E05E_4473_9142_42F37320A417_.wvu.Cols" localSheetId="13" hidden="1">'WS H-p2 Detail of Tax Amts'!$F:$F</definedName>
    <definedName name="Z_C5140E12_E05E_4473_9142_42F37320A417_.wvu.PrintArea" localSheetId="13" hidden="1">'WS H-p2 Detail of Tax Amts'!$A$3:$F$103</definedName>
    <definedName name="Z_C5140E12_E05E_4473_9142_42F37320A417_.wvu.PrintArea" localSheetId="15" hidden="1">'WS J PROJECTED RTEP RR'!$A$3:$O$83</definedName>
    <definedName name="Z_C5140E12_E05E_4473_9142_42F37320A417_.wvu.PrintTitles" localSheetId="13" hidden="1">'WS H-p2 Detail of Tax Amts'!$3:$6</definedName>
    <definedName name="Zip" localSheetId="21">#REF!</definedName>
    <definedName name="Zip" localSheetId="6">#REF!</definedName>
    <definedName name="Zip">#REF!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22" i="41" l="1"/>
  <c r="G23" i="41" s="1"/>
  <c r="G24" i="41" s="1"/>
  <c r="G25" i="41" s="1"/>
  <c r="G26" i="41" s="1"/>
  <c r="G27" i="41" s="1"/>
  <c r="G28" i="41" s="1"/>
  <c r="G29" i="41" s="1"/>
  <c r="G30" i="41" s="1"/>
  <c r="G31" i="41" s="1"/>
  <c r="G32" i="41" s="1"/>
  <c r="G39" i="41"/>
  <c r="G40" i="41" s="1"/>
  <c r="G41" i="41" s="1"/>
  <c r="G42" i="41" s="1"/>
  <c r="G43" i="41" s="1"/>
  <c r="G44" i="41" s="1"/>
  <c r="G45" i="41" s="1"/>
  <c r="G46" i="41" s="1"/>
  <c r="G47" i="41" s="1"/>
  <c r="G48" i="41" s="1"/>
  <c r="G49" i="41" s="1"/>
  <c r="G50" i="41" s="1"/>
  <c r="G22" i="35"/>
  <c r="G23" i="35" s="1"/>
  <c r="G24" i="35" s="1"/>
  <c r="G25" i="35" s="1"/>
  <c r="G26" i="35" s="1"/>
  <c r="G27" i="35" s="1"/>
  <c r="G28" i="35" s="1"/>
  <c r="G29" i="35" s="1"/>
  <c r="G30" i="35" s="1"/>
  <c r="G31" i="35" s="1"/>
  <c r="G32" i="35" s="1"/>
  <c r="G39" i="35"/>
  <c r="G40" i="35" s="1"/>
  <c r="G41" i="35" s="1"/>
  <c r="G42" i="35" s="1"/>
  <c r="G43" i="35" s="1"/>
  <c r="G44" i="35" s="1"/>
  <c r="G45" i="35" s="1"/>
  <c r="G46" i="35" s="1"/>
  <c r="G47" i="35" s="1"/>
  <c r="G48" i="35" s="1"/>
  <c r="G49" i="35" s="1"/>
  <c r="G50" i="35" s="1"/>
  <c r="B8" i="35" l="1"/>
  <c r="F23" i="44" l="1"/>
  <c r="D21" i="44"/>
  <c r="H21" i="44" s="1"/>
  <c r="L17" i="44"/>
  <c r="O17" i="44" s="1"/>
  <c r="H17" i="44"/>
  <c r="J15" i="44"/>
  <c r="J21" i="44" s="1"/>
  <c r="L21" i="44" s="1"/>
  <c r="D15" i="44"/>
  <c r="A14" i="44"/>
  <c r="A15" i="44" s="1"/>
  <c r="A17" i="44" s="1"/>
  <c r="A19" i="44" s="1"/>
  <c r="A20" i="44" s="1"/>
  <c r="A21" i="44" s="1"/>
  <c r="A23" i="44" s="1"/>
  <c r="O21" i="44" l="1"/>
  <c r="D23" i="44"/>
  <c r="H15" i="44"/>
  <c r="J23" i="44"/>
  <c r="L15" i="44"/>
  <c r="L23" i="44" s="1"/>
  <c r="O15" i="44" l="1"/>
  <c r="O23" i="44" s="1"/>
  <c r="G42" i="39" l="1"/>
  <c r="F42" i="39"/>
  <c r="D42" i="39"/>
  <c r="C42" i="39"/>
  <c r="F23" i="39"/>
  <c r="E23" i="39"/>
  <c r="D23" i="39"/>
  <c r="F42" i="38"/>
  <c r="D42" i="38"/>
  <c r="F23" i="38"/>
  <c r="D23" i="38"/>
  <c r="G44" i="5" l="1"/>
  <c r="G36" i="5"/>
  <c r="E36" i="5"/>
  <c r="E44" i="5"/>
  <c r="C23" i="39"/>
  <c r="E42" i="39"/>
  <c r="E42" i="38" l="1"/>
  <c r="C42" i="38"/>
  <c r="G42" i="38"/>
  <c r="E23" i="38"/>
  <c r="G23" i="38"/>
  <c r="C23" i="38"/>
  <c r="D23" i="40" l="1"/>
  <c r="D18" i="40"/>
  <c r="D20" i="40" l="1"/>
  <c r="B8" i="41" l="1"/>
  <c r="B17" i="41"/>
  <c r="C39" i="41"/>
  <c r="C40" i="41" s="1"/>
  <c r="C41" i="41" s="1"/>
  <c r="C42" i="41" s="1"/>
  <c r="C43" i="41" s="1"/>
  <c r="C44" i="41" s="1"/>
  <c r="C45" i="41" s="1"/>
  <c r="C46" i="41" s="1"/>
  <c r="C47" i="41" s="1"/>
  <c r="C48" i="41" s="1"/>
  <c r="C49" i="41" s="1"/>
  <c r="C50" i="41" s="1"/>
  <c r="C36" i="41"/>
  <c r="C21" i="41"/>
  <c r="C32" i="41" s="1"/>
  <c r="C39" i="35"/>
  <c r="C36" i="35"/>
  <c r="C21" i="35"/>
  <c r="C25" i="41" l="1"/>
  <c r="C29" i="41"/>
  <c r="C22" i="41"/>
  <c r="C26" i="41"/>
  <c r="C30" i="41"/>
  <c r="C23" i="41"/>
  <c r="C27" i="41"/>
  <c r="C31" i="41"/>
  <c r="C24" i="41"/>
  <c r="C28" i="41"/>
  <c r="B44" i="42" l="1"/>
  <c r="O27" i="42"/>
  <c r="N27" i="42"/>
  <c r="M27" i="42"/>
  <c r="L27" i="42"/>
  <c r="K27" i="42"/>
  <c r="J27" i="42"/>
  <c r="I27" i="42"/>
  <c r="B27" i="42"/>
  <c r="P24" i="42"/>
  <c r="P23" i="42"/>
  <c r="P19" i="42"/>
  <c r="Q18" i="42"/>
  <c r="P17" i="42"/>
  <c r="P16" i="42"/>
  <c r="Q15" i="42"/>
  <c r="Q14" i="42"/>
  <c r="P13" i="42"/>
  <c r="P27" i="42" l="1"/>
  <c r="Q27" i="42"/>
  <c r="E44" i="43"/>
  <c r="D43" i="43"/>
  <c r="C43" i="43"/>
  <c r="E42" i="43"/>
  <c r="E41" i="43"/>
  <c r="E43" i="43" l="1"/>
  <c r="E45" i="43" s="1"/>
  <c r="I43" i="5" l="1"/>
  <c r="I25" i="5"/>
  <c r="G87" i="2" s="1"/>
  <c r="I18" i="5"/>
  <c r="G130" i="2"/>
  <c r="G142" i="2"/>
  <c r="H216" i="2"/>
  <c r="L214" i="2"/>
  <c r="C40" i="35"/>
  <c r="C41" i="35" s="1"/>
  <c r="C42" i="35" s="1"/>
  <c r="C43" i="35" s="1"/>
  <c r="C44" i="35" s="1"/>
  <c r="C45" i="35" s="1"/>
  <c r="C46" i="35" s="1"/>
  <c r="C47" i="35" s="1"/>
  <c r="C48" i="35" s="1"/>
  <c r="C49" i="35" s="1"/>
  <c r="C50" i="35" s="1"/>
  <c r="I41" i="31"/>
  <c r="I40" i="31" s="1"/>
  <c r="G22" i="39"/>
  <c r="G21" i="39"/>
  <c r="G20" i="39"/>
  <c r="G19" i="39"/>
  <c r="G18" i="39"/>
  <c r="G17" i="39"/>
  <c r="G16" i="39"/>
  <c r="G15" i="39"/>
  <c r="G14" i="39"/>
  <c r="G13" i="39"/>
  <c r="G12" i="39"/>
  <c r="I52" i="5"/>
  <c r="L90" i="2" s="1"/>
  <c r="E51" i="5"/>
  <c r="H22" i="41"/>
  <c r="H23" i="41" s="1"/>
  <c r="H24" i="41" s="1"/>
  <c r="H25" i="41" s="1"/>
  <c r="H26" i="41" s="1"/>
  <c r="H27" i="41" s="1"/>
  <c r="H28" i="41" s="1"/>
  <c r="H29" i="41" s="1"/>
  <c r="H30" i="41" s="1"/>
  <c r="H31" i="41" s="1"/>
  <c r="H32" i="41" s="1"/>
  <c r="G10" i="41"/>
  <c r="C10" i="41"/>
  <c r="L229" i="2"/>
  <c r="L228" i="2"/>
  <c r="E74" i="39"/>
  <c r="E76" i="39" s="1"/>
  <c r="G74" i="2"/>
  <c r="G72" i="2"/>
  <c r="G66" i="2"/>
  <c r="G64" i="2"/>
  <c r="N26" i="20"/>
  <c r="M26" i="20"/>
  <c r="G24" i="2" s="1"/>
  <c r="L24" i="2" s="1"/>
  <c r="J254" i="2"/>
  <c r="H22" i="35"/>
  <c r="H23" i="35" s="1"/>
  <c r="H24" i="35" s="1"/>
  <c r="H25" i="35" s="1"/>
  <c r="H26" i="35" s="1"/>
  <c r="H27" i="35" s="1"/>
  <c r="H28" i="35" s="1"/>
  <c r="H29" i="35" s="1"/>
  <c r="H30" i="35" s="1"/>
  <c r="H31" i="35" s="1"/>
  <c r="H32" i="35" s="1"/>
  <c r="G10" i="35"/>
  <c r="C10" i="35"/>
  <c r="F62" i="38"/>
  <c r="E62" i="38"/>
  <c r="L205" i="2" s="1"/>
  <c r="D62" i="38"/>
  <c r="C62" i="38"/>
  <c r="L206" i="2" s="1"/>
  <c r="A7" i="40"/>
  <c r="A4" i="40"/>
  <c r="A3" i="40"/>
  <c r="A12" i="40"/>
  <c r="A15" i="40" s="1"/>
  <c r="A16" i="40" s="1"/>
  <c r="A17" i="40" s="1"/>
  <c r="A18" i="40" s="1"/>
  <c r="A19" i="40" s="1"/>
  <c r="A20" i="40" s="1"/>
  <c r="A21" i="40" s="1"/>
  <c r="A22" i="40" s="1"/>
  <c r="A23" i="40" s="1"/>
  <c r="A26" i="40" s="1"/>
  <c r="A27" i="40" s="1"/>
  <c r="A28" i="40" s="1"/>
  <c r="A29" i="40" s="1"/>
  <c r="A30" i="40" s="1"/>
  <c r="B48" i="39"/>
  <c r="A4" i="39"/>
  <c r="B60" i="39" s="1"/>
  <c r="A1" i="39"/>
  <c r="C62" i="39"/>
  <c r="Q10" i="37"/>
  <c r="M10" i="37"/>
  <c r="F13" i="37"/>
  <c r="E13" i="37"/>
  <c r="D13" i="37"/>
  <c r="C13" i="37"/>
  <c r="B3" i="37"/>
  <c r="Q10" i="36"/>
  <c r="M10" i="36"/>
  <c r="C13" i="36"/>
  <c r="F13" i="36"/>
  <c r="D13" i="36"/>
  <c r="E13" i="36"/>
  <c r="B3" i="36"/>
  <c r="A1" i="38"/>
  <c r="F67" i="38"/>
  <c r="E67" i="38"/>
  <c r="D67" i="38"/>
  <c r="L224" i="2"/>
  <c r="F68" i="39"/>
  <c r="E68" i="39"/>
  <c r="D68" i="39"/>
  <c r="C68" i="39"/>
  <c r="E50" i="39" s="1"/>
  <c r="A11" i="39"/>
  <c r="A12" i="39" s="1"/>
  <c r="A13" i="39" s="1"/>
  <c r="A14" i="39" s="1"/>
  <c r="A15" i="39" s="1"/>
  <c r="A16" i="39" s="1"/>
  <c r="A17" i="39" s="1"/>
  <c r="A18" i="39" s="1"/>
  <c r="A19" i="39" s="1"/>
  <c r="A20" i="39" s="1"/>
  <c r="A21" i="39" s="1"/>
  <c r="A22" i="39" s="1"/>
  <c r="A23" i="39" s="1"/>
  <c r="A2" i="39"/>
  <c r="B6" i="14"/>
  <c r="A6" i="13"/>
  <c r="J77" i="13" s="1"/>
  <c r="A6" i="20"/>
  <c r="I77" i="20" s="1"/>
  <c r="A6" i="31"/>
  <c r="A6" i="11"/>
  <c r="A6" i="10"/>
  <c r="A6" i="9"/>
  <c r="A6" i="8"/>
  <c r="B36" i="8" s="1"/>
  <c r="A6" i="7"/>
  <c r="B26" i="7" s="1"/>
  <c r="A6" i="6"/>
  <c r="A6" i="5"/>
  <c r="A4" i="38"/>
  <c r="Q27" i="21"/>
  <c r="Q22" i="21"/>
  <c r="Q17" i="21"/>
  <c r="D48" i="38"/>
  <c r="C48" i="38"/>
  <c r="F28" i="38"/>
  <c r="D28" i="38"/>
  <c r="A69" i="38"/>
  <c r="A71" i="38" s="1"/>
  <c r="A75" i="38" s="1"/>
  <c r="A76" i="38" s="1"/>
  <c r="A77" i="38" s="1"/>
  <c r="A78" i="38" s="1"/>
  <c r="A79" i="38" s="1"/>
  <c r="A80" i="38" s="1"/>
  <c r="E87" i="38"/>
  <c r="D87" i="38"/>
  <c r="F86" i="38"/>
  <c r="F85" i="38"/>
  <c r="E80" i="38"/>
  <c r="D80" i="38"/>
  <c r="F79" i="38"/>
  <c r="F78" i="38"/>
  <c r="F77" i="38"/>
  <c r="F76" i="38"/>
  <c r="F75" i="38"/>
  <c r="F71" i="38"/>
  <c r="L93" i="2" s="1"/>
  <c r="F69" i="38"/>
  <c r="G93" i="2" s="1"/>
  <c r="A11" i="38"/>
  <c r="A12" i="38" s="1"/>
  <c r="A13" i="38" s="1"/>
  <c r="A14" i="38" s="1"/>
  <c r="A15" i="38" s="1"/>
  <c r="A16" i="38" s="1"/>
  <c r="A17" i="38" s="1"/>
  <c r="A18" i="38" s="1"/>
  <c r="A19" i="38" s="1"/>
  <c r="A20" i="38" s="1"/>
  <c r="A21" i="38" s="1"/>
  <c r="A22" i="38" s="1"/>
  <c r="A23" i="38" s="1"/>
  <c r="A29" i="38" s="1"/>
  <c r="A30" i="38" s="1"/>
  <c r="A31" i="38" s="1"/>
  <c r="A32" i="38" s="1"/>
  <c r="A33" i="38" s="1"/>
  <c r="A34" i="38" s="1"/>
  <c r="A35" i="38" s="1"/>
  <c r="A36" i="38" s="1"/>
  <c r="A37" i="38" s="1"/>
  <c r="A38" i="38" s="1"/>
  <c r="A39" i="38" s="1"/>
  <c r="A40" i="38" s="1"/>
  <c r="A41" i="38" s="1"/>
  <c r="A42" i="38" s="1"/>
  <c r="A2" i="38"/>
  <c r="E40" i="31"/>
  <c r="E23" i="11" s="1"/>
  <c r="G23" i="11" s="1"/>
  <c r="I39" i="31"/>
  <c r="I36" i="31"/>
  <c r="I35" i="31"/>
  <c r="I34" i="31"/>
  <c r="I33" i="31"/>
  <c r="I32" i="31"/>
  <c r="I25" i="31"/>
  <c r="I26" i="31"/>
  <c r="I27" i="31"/>
  <c r="I28" i="31"/>
  <c r="I29" i="31"/>
  <c r="D43" i="5"/>
  <c r="D42" i="5"/>
  <c r="D27" i="5"/>
  <c r="D19" i="5"/>
  <c r="B1" i="37"/>
  <c r="B1" i="36"/>
  <c r="S110" i="37"/>
  <c r="R110" i="37"/>
  <c r="Q110" i="37"/>
  <c r="O110" i="37"/>
  <c r="N110" i="37"/>
  <c r="M110" i="37"/>
  <c r="F110" i="37"/>
  <c r="E110" i="37"/>
  <c r="S109" i="37"/>
  <c r="R109" i="37"/>
  <c r="Q109" i="37"/>
  <c r="O109" i="37"/>
  <c r="N109" i="37"/>
  <c r="M109" i="37"/>
  <c r="K107" i="37"/>
  <c r="J107" i="37"/>
  <c r="I107" i="37"/>
  <c r="D107" i="37"/>
  <c r="C107" i="37"/>
  <c r="K106" i="37"/>
  <c r="J106" i="37"/>
  <c r="I106" i="37"/>
  <c r="F106" i="37"/>
  <c r="E106" i="37"/>
  <c r="F105" i="37"/>
  <c r="E105" i="37"/>
  <c r="F104" i="37"/>
  <c r="E104" i="37"/>
  <c r="F103" i="37"/>
  <c r="E103" i="37"/>
  <c r="F102" i="37"/>
  <c r="E102" i="37"/>
  <c r="F101" i="37"/>
  <c r="E101" i="37"/>
  <c r="F100" i="37"/>
  <c r="E100" i="37"/>
  <c r="F99" i="37"/>
  <c r="E99" i="37"/>
  <c r="F98" i="37"/>
  <c r="E98" i="37"/>
  <c r="F97" i="37"/>
  <c r="E97" i="37"/>
  <c r="F96" i="37"/>
  <c r="E96" i="37"/>
  <c r="K95" i="37"/>
  <c r="J95" i="37"/>
  <c r="I95" i="37"/>
  <c r="D95" i="37"/>
  <c r="C95" i="37"/>
  <c r="K94" i="37"/>
  <c r="J94" i="37"/>
  <c r="I94" i="37"/>
  <c r="D94" i="37"/>
  <c r="C94" i="37"/>
  <c r="K93" i="37"/>
  <c r="J93" i="37"/>
  <c r="I93" i="37"/>
  <c r="D93" i="37"/>
  <c r="C93" i="37"/>
  <c r="K92" i="37"/>
  <c r="J92" i="37"/>
  <c r="I92" i="37"/>
  <c r="D92" i="37"/>
  <c r="C92" i="37"/>
  <c r="K91" i="37"/>
  <c r="J91" i="37"/>
  <c r="I91" i="37"/>
  <c r="D91" i="37"/>
  <c r="C91" i="37"/>
  <c r="K90" i="37"/>
  <c r="J90" i="37"/>
  <c r="I90" i="37"/>
  <c r="D90" i="37"/>
  <c r="C90" i="37"/>
  <c r="K89" i="37"/>
  <c r="J89" i="37"/>
  <c r="I89" i="37"/>
  <c r="D89" i="37"/>
  <c r="C89" i="37"/>
  <c r="K88" i="37"/>
  <c r="J88" i="37"/>
  <c r="I88" i="37"/>
  <c r="D88" i="37"/>
  <c r="C88" i="37"/>
  <c r="K87" i="37"/>
  <c r="J87" i="37"/>
  <c r="I87" i="37"/>
  <c r="D87" i="37"/>
  <c r="C87" i="37"/>
  <c r="K86" i="37"/>
  <c r="J86" i="37"/>
  <c r="I86" i="37"/>
  <c r="D86" i="37"/>
  <c r="C86" i="37"/>
  <c r="K85" i="37"/>
  <c r="J85" i="37"/>
  <c r="I85" i="37"/>
  <c r="D85" i="37"/>
  <c r="C85" i="37"/>
  <c r="K84" i="37"/>
  <c r="J84" i="37"/>
  <c r="I84" i="37"/>
  <c r="D84" i="37"/>
  <c r="C84" i="37"/>
  <c r="K83" i="37"/>
  <c r="J83" i="37"/>
  <c r="I83" i="37"/>
  <c r="D83" i="37"/>
  <c r="C83" i="37"/>
  <c r="K82" i="37"/>
  <c r="J82" i="37"/>
  <c r="I82" i="37"/>
  <c r="D82" i="37"/>
  <c r="C82" i="37"/>
  <c r="K81" i="37"/>
  <c r="J81" i="37"/>
  <c r="I81" i="37"/>
  <c r="D81" i="37"/>
  <c r="C81" i="37"/>
  <c r="K80" i="37"/>
  <c r="J80" i="37"/>
  <c r="I80" i="37"/>
  <c r="D80" i="37"/>
  <c r="C80" i="37"/>
  <c r="K79" i="37"/>
  <c r="J79" i="37"/>
  <c r="I79" i="37"/>
  <c r="D79" i="37"/>
  <c r="C79" i="37"/>
  <c r="K78" i="37"/>
  <c r="J78" i="37"/>
  <c r="I78" i="37"/>
  <c r="D78" i="37"/>
  <c r="C78" i="37"/>
  <c r="K77" i="37"/>
  <c r="J77" i="37"/>
  <c r="I77" i="37"/>
  <c r="D77" i="37"/>
  <c r="C77" i="37"/>
  <c r="K76" i="37"/>
  <c r="J76" i="37"/>
  <c r="I76" i="37"/>
  <c r="D76" i="37"/>
  <c r="C76" i="37"/>
  <c r="K75" i="37"/>
  <c r="J75" i="37"/>
  <c r="I75" i="37"/>
  <c r="D75" i="37"/>
  <c r="C75" i="37"/>
  <c r="K74" i="37"/>
  <c r="J74" i="37"/>
  <c r="I74" i="37"/>
  <c r="D74" i="37"/>
  <c r="C74" i="37"/>
  <c r="K73" i="37"/>
  <c r="J73" i="37"/>
  <c r="I73" i="37"/>
  <c r="D73" i="37"/>
  <c r="C73" i="37"/>
  <c r="K72" i="37"/>
  <c r="J72" i="37"/>
  <c r="I72" i="37"/>
  <c r="D72" i="37"/>
  <c r="C72" i="37"/>
  <c r="K71" i="37"/>
  <c r="J71" i="37"/>
  <c r="I71" i="37"/>
  <c r="D71" i="37"/>
  <c r="C71" i="37"/>
  <c r="K70" i="37"/>
  <c r="J70" i="37"/>
  <c r="I70" i="37"/>
  <c r="D70" i="37"/>
  <c r="C70" i="37"/>
  <c r="K69" i="37"/>
  <c r="J69" i="37"/>
  <c r="I69" i="37"/>
  <c r="D69" i="37"/>
  <c r="C69" i="37"/>
  <c r="K68" i="37"/>
  <c r="J68" i="37"/>
  <c r="I68" i="37"/>
  <c r="D68" i="37"/>
  <c r="C68" i="37"/>
  <c r="K67" i="37"/>
  <c r="J67" i="37"/>
  <c r="I67" i="37"/>
  <c r="D67" i="37"/>
  <c r="C67" i="37"/>
  <c r="K66" i="37"/>
  <c r="J66" i="37"/>
  <c r="I66" i="37"/>
  <c r="D66" i="37"/>
  <c r="C66" i="37"/>
  <c r="K65" i="37"/>
  <c r="J65" i="37"/>
  <c r="I65" i="37"/>
  <c r="D65" i="37"/>
  <c r="C65" i="37"/>
  <c r="K64" i="37"/>
  <c r="J64" i="37"/>
  <c r="I64" i="37"/>
  <c r="D64" i="37"/>
  <c r="C64" i="37"/>
  <c r="K63" i="37"/>
  <c r="J63" i="37"/>
  <c r="I63" i="37"/>
  <c r="D63" i="37"/>
  <c r="C63" i="37"/>
  <c r="K62" i="37"/>
  <c r="J62" i="37"/>
  <c r="I62" i="37"/>
  <c r="D62" i="37"/>
  <c r="C62" i="37"/>
  <c r="K61" i="37"/>
  <c r="J61" i="37"/>
  <c r="I61" i="37"/>
  <c r="D61" i="37"/>
  <c r="C61" i="37"/>
  <c r="K60" i="37"/>
  <c r="J60" i="37"/>
  <c r="I60" i="37"/>
  <c r="D60" i="37"/>
  <c r="C60" i="37"/>
  <c r="K59" i="37"/>
  <c r="J59" i="37"/>
  <c r="I59" i="37"/>
  <c r="D59" i="37"/>
  <c r="C59" i="37"/>
  <c r="K58" i="37"/>
  <c r="J58" i="37"/>
  <c r="I58" i="37"/>
  <c r="D58" i="37"/>
  <c r="C58" i="37"/>
  <c r="K57" i="37"/>
  <c r="J57" i="37"/>
  <c r="I57" i="37"/>
  <c r="D57" i="37"/>
  <c r="C57" i="37"/>
  <c r="K56" i="37"/>
  <c r="J56" i="37"/>
  <c r="I56" i="37"/>
  <c r="D56" i="37"/>
  <c r="C56" i="37"/>
  <c r="K55" i="37"/>
  <c r="J55" i="37"/>
  <c r="I55" i="37"/>
  <c r="D55" i="37"/>
  <c r="C55" i="37"/>
  <c r="K54" i="37"/>
  <c r="J54" i="37"/>
  <c r="I54" i="37"/>
  <c r="D54" i="37"/>
  <c r="C54" i="37"/>
  <c r="K53" i="37"/>
  <c r="J53" i="37"/>
  <c r="I53" i="37"/>
  <c r="D53" i="37"/>
  <c r="C53" i="37"/>
  <c r="K52" i="37"/>
  <c r="J52" i="37"/>
  <c r="I52" i="37"/>
  <c r="D52" i="37"/>
  <c r="C52" i="37"/>
  <c r="K51" i="37"/>
  <c r="J51" i="37"/>
  <c r="I51" i="37"/>
  <c r="D51" i="37"/>
  <c r="C51" i="37"/>
  <c r="K50" i="37"/>
  <c r="J50" i="37"/>
  <c r="I50" i="37"/>
  <c r="D50" i="37"/>
  <c r="C50" i="37"/>
  <c r="K49" i="37"/>
  <c r="J49" i="37"/>
  <c r="I49" i="37"/>
  <c r="D49" i="37"/>
  <c r="C49" i="37"/>
  <c r="K48" i="37"/>
  <c r="J48" i="37"/>
  <c r="I48" i="37"/>
  <c r="D48" i="37"/>
  <c r="C48" i="37"/>
  <c r="K47" i="37"/>
  <c r="J47" i="37"/>
  <c r="I47" i="37"/>
  <c r="D47" i="37"/>
  <c r="C47" i="37"/>
  <c r="K46" i="37"/>
  <c r="J46" i="37"/>
  <c r="I46" i="37"/>
  <c r="D46" i="37"/>
  <c r="C46" i="37"/>
  <c r="K45" i="37"/>
  <c r="J45" i="37"/>
  <c r="I45" i="37"/>
  <c r="D45" i="37"/>
  <c r="C45" i="37"/>
  <c r="K44" i="37"/>
  <c r="J44" i="37"/>
  <c r="I44" i="37"/>
  <c r="D44" i="37"/>
  <c r="C44" i="37"/>
  <c r="K43" i="37"/>
  <c r="J43" i="37"/>
  <c r="I43" i="37"/>
  <c r="D43" i="37"/>
  <c r="C43" i="37"/>
  <c r="K42" i="37"/>
  <c r="J42" i="37"/>
  <c r="I42" i="37"/>
  <c r="D42" i="37"/>
  <c r="C42" i="37"/>
  <c r="K41" i="37"/>
  <c r="J41" i="37"/>
  <c r="I41" i="37"/>
  <c r="D41" i="37"/>
  <c r="C41" i="37"/>
  <c r="K40" i="37"/>
  <c r="J40" i="37"/>
  <c r="I40" i="37"/>
  <c r="D40" i="37"/>
  <c r="C40" i="37"/>
  <c r="K39" i="37"/>
  <c r="J39" i="37"/>
  <c r="I39" i="37"/>
  <c r="D39" i="37"/>
  <c r="C39" i="37"/>
  <c r="K38" i="37"/>
  <c r="J38" i="37"/>
  <c r="I38" i="37"/>
  <c r="D38" i="37"/>
  <c r="C38" i="37"/>
  <c r="K37" i="37"/>
  <c r="J37" i="37"/>
  <c r="I37" i="37"/>
  <c r="D37" i="37"/>
  <c r="C37" i="37"/>
  <c r="K36" i="37"/>
  <c r="J36" i="37"/>
  <c r="I36" i="37"/>
  <c r="D36" i="37"/>
  <c r="C36" i="37"/>
  <c r="K35" i="37"/>
  <c r="J35" i="37"/>
  <c r="I35" i="37"/>
  <c r="D35" i="37"/>
  <c r="C35" i="37"/>
  <c r="K34" i="37"/>
  <c r="J34" i="37"/>
  <c r="I34" i="37"/>
  <c r="D34" i="37"/>
  <c r="C34" i="37"/>
  <c r="K33" i="37"/>
  <c r="J33" i="37"/>
  <c r="I33" i="37"/>
  <c r="D33" i="37"/>
  <c r="C33" i="37"/>
  <c r="K32" i="37"/>
  <c r="J32" i="37"/>
  <c r="I32" i="37"/>
  <c r="D32" i="37"/>
  <c r="C32" i="37"/>
  <c r="K31" i="37"/>
  <c r="J31" i="37"/>
  <c r="I31" i="37"/>
  <c r="D31" i="37"/>
  <c r="C31" i="37"/>
  <c r="K30" i="37"/>
  <c r="J30" i="37"/>
  <c r="I30" i="37"/>
  <c r="D30" i="37"/>
  <c r="C30" i="37"/>
  <c r="K29" i="37"/>
  <c r="J29" i="37"/>
  <c r="I29" i="37"/>
  <c r="D29" i="37"/>
  <c r="C29" i="37"/>
  <c r="K28" i="37"/>
  <c r="J28" i="37"/>
  <c r="I28" i="37"/>
  <c r="D28" i="37"/>
  <c r="C28" i="37"/>
  <c r="K27" i="37"/>
  <c r="J27" i="37"/>
  <c r="I27" i="37"/>
  <c r="D27" i="37"/>
  <c r="C27" i="37"/>
  <c r="K26" i="37"/>
  <c r="J26" i="37"/>
  <c r="I26" i="37"/>
  <c r="D26" i="37"/>
  <c r="C26" i="37"/>
  <c r="K25" i="37"/>
  <c r="J25" i="37"/>
  <c r="I25" i="37"/>
  <c r="D25" i="37"/>
  <c r="C25" i="37"/>
  <c r="K24" i="37"/>
  <c r="J24" i="37"/>
  <c r="I24" i="37"/>
  <c r="D24" i="37"/>
  <c r="C24" i="37"/>
  <c r="K23" i="37"/>
  <c r="J23" i="37"/>
  <c r="I23" i="37"/>
  <c r="D23" i="37"/>
  <c r="C23" i="37"/>
  <c r="K22" i="37"/>
  <c r="J22" i="37"/>
  <c r="I22" i="37"/>
  <c r="D22" i="37"/>
  <c r="C22" i="37"/>
  <c r="K21" i="37"/>
  <c r="J21" i="37"/>
  <c r="I21" i="37"/>
  <c r="D21" i="37"/>
  <c r="C21" i="37"/>
  <c r="K20" i="37"/>
  <c r="J20" i="37"/>
  <c r="I20" i="37"/>
  <c r="D20" i="37"/>
  <c r="C20" i="37"/>
  <c r="K19" i="37"/>
  <c r="J19" i="37"/>
  <c r="I19" i="37"/>
  <c r="D19" i="37"/>
  <c r="C19" i="37"/>
  <c r="K18" i="37"/>
  <c r="J18" i="37"/>
  <c r="I18" i="37"/>
  <c r="D18" i="37"/>
  <c r="C18" i="37"/>
  <c r="A18" i="37"/>
  <c r="A19" i="37" s="1"/>
  <c r="A20" i="37" s="1"/>
  <c r="A21" i="37" s="1"/>
  <c r="A22" i="37" s="1"/>
  <c r="A23" i="37" s="1"/>
  <c r="A24" i="37" s="1"/>
  <c r="A25" i="37" s="1"/>
  <c r="A26" i="37" s="1"/>
  <c r="A27" i="37" s="1"/>
  <c r="A28" i="37" s="1"/>
  <c r="A29" i="37" s="1"/>
  <c r="A30" i="37" s="1"/>
  <c r="A31" i="37" s="1"/>
  <c r="A32" i="37" s="1"/>
  <c r="A33" i="37" s="1"/>
  <c r="A34" i="37" s="1"/>
  <c r="A35" i="37" s="1"/>
  <c r="A36" i="37" s="1"/>
  <c r="A37" i="37" s="1"/>
  <c r="A38" i="37" s="1"/>
  <c r="A39" i="37" s="1"/>
  <c r="A40" i="37" s="1"/>
  <c r="A41" i="37" s="1"/>
  <c r="A42" i="37" s="1"/>
  <c r="A43" i="37" s="1"/>
  <c r="A44" i="37" s="1"/>
  <c r="A45" i="37" s="1"/>
  <c r="A46" i="37" s="1"/>
  <c r="A47" i="37" s="1"/>
  <c r="A48" i="37" s="1"/>
  <c r="A49" i="37" s="1"/>
  <c r="A50" i="37" s="1"/>
  <c r="A51" i="37" s="1"/>
  <c r="A52" i="37" s="1"/>
  <c r="A53" i="37" s="1"/>
  <c r="A54" i="37" s="1"/>
  <c r="A55" i="37" s="1"/>
  <c r="A56" i="37" s="1"/>
  <c r="A57" i="37" s="1"/>
  <c r="A58" i="37" s="1"/>
  <c r="A59" i="37" s="1"/>
  <c r="A60" i="37" s="1"/>
  <c r="A61" i="37" s="1"/>
  <c r="A62" i="37" s="1"/>
  <c r="A63" i="37" s="1"/>
  <c r="A64" i="37" s="1"/>
  <c r="A65" i="37" s="1"/>
  <c r="A66" i="37" s="1"/>
  <c r="A67" i="37" s="1"/>
  <c r="A68" i="37" s="1"/>
  <c r="A69" i="37" s="1"/>
  <c r="A70" i="37" s="1"/>
  <c r="A71" i="37" s="1"/>
  <c r="A72" i="37" s="1"/>
  <c r="A73" i="37" s="1"/>
  <c r="A74" i="37" s="1"/>
  <c r="A75" i="37" s="1"/>
  <c r="A76" i="37" s="1"/>
  <c r="A77" i="37" s="1"/>
  <c r="A78" i="37" s="1"/>
  <c r="A79" i="37" s="1"/>
  <c r="A80" i="37" s="1"/>
  <c r="A81" i="37" s="1"/>
  <c r="A82" i="37" s="1"/>
  <c r="A83" i="37" s="1"/>
  <c r="A84" i="37" s="1"/>
  <c r="A85" i="37" s="1"/>
  <c r="A86" i="37" s="1"/>
  <c r="A87" i="37" s="1"/>
  <c r="A88" i="37" s="1"/>
  <c r="A89" i="37" s="1"/>
  <c r="A90" i="37" s="1"/>
  <c r="A91" i="37" s="1"/>
  <c r="A92" i="37" s="1"/>
  <c r="A93" i="37" s="1"/>
  <c r="A94" i="37" s="1"/>
  <c r="A95" i="37" s="1"/>
  <c r="A96" i="37" s="1"/>
  <c r="A97" i="37" s="1"/>
  <c r="A98" i="37" s="1"/>
  <c r="A99" i="37" s="1"/>
  <c r="A100" i="37" s="1"/>
  <c r="A101" i="37" s="1"/>
  <c r="A102" i="37" s="1"/>
  <c r="A103" i="37" s="1"/>
  <c r="A104" i="37" s="1"/>
  <c r="A105" i="37" s="1"/>
  <c r="A106" i="37" s="1"/>
  <c r="A107" i="37" s="1"/>
  <c r="K17" i="37"/>
  <c r="J17" i="37"/>
  <c r="I17" i="37"/>
  <c r="D17" i="37"/>
  <c r="C17" i="37"/>
  <c r="S197" i="36"/>
  <c r="R197" i="36"/>
  <c r="Q197" i="36"/>
  <c r="O197" i="36"/>
  <c r="N197" i="36"/>
  <c r="M197" i="36"/>
  <c r="F197" i="36"/>
  <c r="E197" i="36"/>
  <c r="K195" i="36"/>
  <c r="J195" i="36"/>
  <c r="I195" i="36"/>
  <c r="D195" i="36"/>
  <c r="C195" i="36"/>
  <c r="K194" i="36"/>
  <c r="J194" i="36"/>
  <c r="I194" i="36"/>
  <c r="D194" i="36"/>
  <c r="C194" i="36"/>
  <c r="S184" i="36"/>
  <c r="R184" i="36"/>
  <c r="Q184" i="36"/>
  <c r="O184" i="36"/>
  <c r="N184" i="36"/>
  <c r="M184" i="36"/>
  <c r="F184" i="36"/>
  <c r="E184" i="36"/>
  <c r="F181" i="36"/>
  <c r="E181" i="36"/>
  <c r="K180" i="36"/>
  <c r="J180" i="36"/>
  <c r="I180" i="36"/>
  <c r="D180" i="36"/>
  <c r="C180" i="36"/>
  <c r="A180" i="36"/>
  <c r="A181" i="36" s="1"/>
  <c r="S177" i="36"/>
  <c r="S183" i="36" s="1"/>
  <c r="R177" i="36"/>
  <c r="R183" i="36" s="1"/>
  <c r="Q177" i="36"/>
  <c r="Q183" i="36" s="1"/>
  <c r="O177" i="36"/>
  <c r="O183" i="36" s="1"/>
  <c r="N177" i="36"/>
  <c r="N183" i="36" s="1"/>
  <c r="M177" i="36"/>
  <c r="M183" i="36" s="1"/>
  <c r="F174" i="36"/>
  <c r="E174" i="36"/>
  <c r="F173" i="36"/>
  <c r="E173" i="36"/>
  <c r="F172" i="36"/>
  <c r="E172" i="36"/>
  <c r="F171" i="36"/>
  <c r="E171" i="36"/>
  <c r="F170" i="36"/>
  <c r="E170" i="36"/>
  <c r="F169" i="36"/>
  <c r="E169" i="36"/>
  <c r="K168" i="36"/>
  <c r="J168" i="36"/>
  <c r="I168" i="36"/>
  <c r="D168" i="36"/>
  <c r="C168" i="36"/>
  <c r="K167" i="36"/>
  <c r="J167" i="36"/>
  <c r="I167" i="36"/>
  <c r="D167" i="36"/>
  <c r="C167" i="36"/>
  <c r="K166" i="36"/>
  <c r="J166" i="36"/>
  <c r="I166" i="36"/>
  <c r="D166" i="36"/>
  <c r="C166" i="36"/>
  <c r="K165" i="36"/>
  <c r="J165" i="36"/>
  <c r="I165" i="36"/>
  <c r="D165" i="36"/>
  <c r="C165" i="36"/>
  <c r="K164" i="36"/>
  <c r="J164" i="36"/>
  <c r="I164" i="36"/>
  <c r="D164" i="36"/>
  <c r="C164" i="36"/>
  <c r="K163" i="36"/>
  <c r="J163" i="36"/>
  <c r="I163" i="36"/>
  <c r="D163" i="36"/>
  <c r="C163" i="36"/>
  <c r="K162" i="36"/>
  <c r="J162" i="36"/>
  <c r="I162" i="36"/>
  <c r="D162" i="36"/>
  <c r="C162" i="36"/>
  <c r="K161" i="36"/>
  <c r="J161" i="36"/>
  <c r="I161" i="36"/>
  <c r="D161" i="36"/>
  <c r="C161" i="36"/>
  <c r="K160" i="36"/>
  <c r="J160" i="36"/>
  <c r="I160" i="36"/>
  <c r="D160" i="36"/>
  <c r="C160" i="36"/>
  <c r="K159" i="36"/>
  <c r="J159" i="36"/>
  <c r="I159" i="36"/>
  <c r="D159" i="36"/>
  <c r="C159" i="36"/>
  <c r="K158" i="36"/>
  <c r="J158" i="36"/>
  <c r="I158" i="36"/>
  <c r="D158" i="36"/>
  <c r="C158" i="36"/>
  <c r="K157" i="36"/>
  <c r="J157" i="36"/>
  <c r="I157" i="36"/>
  <c r="D157" i="36"/>
  <c r="C157" i="36"/>
  <c r="K156" i="36"/>
  <c r="J156" i="36"/>
  <c r="I156" i="36"/>
  <c r="D156" i="36"/>
  <c r="C156" i="36"/>
  <c r="K155" i="36"/>
  <c r="J155" i="36"/>
  <c r="I155" i="36"/>
  <c r="D155" i="36"/>
  <c r="C155" i="36"/>
  <c r="K154" i="36"/>
  <c r="J154" i="36"/>
  <c r="I154" i="36"/>
  <c r="D154" i="36"/>
  <c r="C154" i="36"/>
  <c r="K153" i="36"/>
  <c r="J153" i="36"/>
  <c r="I153" i="36"/>
  <c r="D153" i="36"/>
  <c r="C153" i="36"/>
  <c r="K152" i="36"/>
  <c r="J152" i="36"/>
  <c r="I152" i="36"/>
  <c r="D152" i="36"/>
  <c r="C152" i="36"/>
  <c r="K151" i="36"/>
  <c r="J151" i="36"/>
  <c r="I151" i="36"/>
  <c r="D151" i="36"/>
  <c r="C151" i="36"/>
  <c r="K150" i="36"/>
  <c r="J150" i="36"/>
  <c r="I150" i="36"/>
  <c r="D150" i="36"/>
  <c r="C150" i="36"/>
  <c r="K149" i="36"/>
  <c r="J149" i="36"/>
  <c r="I149" i="36"/>
  <c r="D149" i="36"/>
  <c r="C149" i="36"/>
  <c r="K148" i="36"/>
  <c r="J148" i="36"/>
  <c r="I148" i="36"/>
  <c r="D148" i="36"/>
  <c r="C148" i="36"/>
  <c r="K147" i="36"/>
  <c r="J147" i="36"/>
  <c r="I147" i="36"/>
  <c r="D147" i="36"/>
  <c r="C147" i="36"/>
  <c r="K146" i="36"/>
  <c r="J146" i="36"/>
  <c r="I146" i="36"/>
  <c r="D146" i="36"/>
  <c r="C146" i="36"/>
  <c r="K145" i="36"/>
  <c r="J145" i="36"/>
  <c r="I145" i="36"/>
  <c r="D145" i="36"/>
  <c r="C145" i="36"/>
  <c r="K144" i="36"/>
  <c r="J144" i="36"/>
  <c r="I144" i="36"/>
  <c r="D144" i="36"/>
  <c r="C144" i="36"/>
  <c r="K143" i="36"/>
  <c r="J143" i="36"/>
  <c r="I143" i="36"/>
  <c r="D143" i="36"/>
  <c r="C143" i="36"/>
  <c r="K142" i="36"/>
  <c r="J142" i="36"/>
  <c r="I142" i="36"/>
  <c r="D142" i="36"/>
  <c r="C142" i="36"/>
  <c r="K141" i="36"/>
  <c r="J141" i="36"/>
  <c r="I141" i="36"/>
  <c r="D141" i="36"/>
  <c r="C141" i="36"/>
  <c r="K140" i="36"/>
  <c r="J140" i="36"/>
  <c r="I140" i="36"/>
  <c r="D140" i="36"/>
  <c r="C140" i="36"/>
  <c r="K139" i="36"/>
  <c r="J139" i="36"/>
  <c r="I139" i="36"/>
  <c r="D139" i="36"/>
  <c r="C139" i="36"/>
  <c r="K138" i="36"/>
  <c r="J138" i="36"/>
  <c r="I138" i="36"/>
  <c r="D138" i="36"/>
  <c r="C138" i="36"/>
  <c r="K137" i="36"/>
  <c r="J137" i="36"/>
  <c r="I137" i="36"/>
  <c r="D137" i="36"/>
  <c r="C137" i="36"/>
  <c r="K136" i="36"/>
  <c r="J136" i="36"/>
  <c r="I136" i="36"/>
  <c r="D136" i="36"/>
  <c r="C136" i="36"/>
  <c r="K135" i="36"/>
  <c r="J135" i="36"/>
  <c r="I135" i="36"/>
  <c r="D135" i="36"/>
  <c r="C135" i="36"/>
  <c r="K134" i="36"/>
  <c r="J134" i="36"/>
  <c r="I134" i="36"/>
  <c r="D134" i="36"/>
  <c r="C134" i="36"/>
  <c r="K133" i="36"/>
  <c r="J133" i="36"/>
  <c r="I133" i="36"/>
  <c r="D133" i="36"/>
  <c r="C133" i="36"/>
  <c r="K132" i="36"/>
  <c r="J132" i="36"/>
  <c r="I132" i="36"/>
  <c r="D132" i="36"/>
  <c r="C132" i="36"/>
  <c r="K131" i="36"/>
  <c r="J131" i="36"/>
  <c r="I131" i="36"/>
  <c r="D131" i="36"/>
  <c r="C131" i="36"/>
  <c r="K130" i="36"/>
  <c r="J130" i="36"/>
  <c r="I130" i="36"/>
  <c r="D130" i="36"/>
  <c r="C130" i="36"/>
  <c r="K129" i="36"/>
  <c r="J129" i="36"/>
  <c r="I129" i="36"/>
  <c r="D129" i="36"/>
  <c r="C129" i="36"/>
  <c r="K128" i="36"/>
  <c r="J128" i="36"/>
  <c r="I128" i="36"/>
  <c r="D128" i="36"/>
  <c r="C128" i="36"/>
  <c r="K127" i="36"/>
  <c r="J127" i="36"/>
  <c r="I127" i="36"/>
  <c r="D127" i="36"/>
  <c r="C127" i="36"/>
  <c r="K126" i="36"/>
  <c r="J126" i="36"/>
  <c r="I126" i="36"/>
  <c r="D126" i="36"/>
  <c r="C126" i="36"/>
  <c r="K125" i="36"/>
  <c r="J125" i="36"/>
  <c r="I125" i="36"/>
  <c r="D125" i="36"/>
  <c r="C125" i="36"/>
  <c r="K124" i="36"/>
  <c r="J124" i="36"/>
  <c r="I124" i="36"/>
  <c r="D124" i="36"/>
  <c r="C124" i="36"/>
  <c r="K123" i="36"/>
  <c r="J123" i="36"/>
  <c r="I123" i="36"/>
  <c r="D123" i="36"/>
  <c r="C123" i="36"/>
  <c r="K122" i="36"/>
  <c r="J122" i="36"/>
  <c r="I122" i="36"/>
  <c r="D122" i="36"/>
  <c r="C122" i="36"/>
  <c r="K121" i="36"/>
  <c r="J121" i="36"/>
  <c r="I121" i="36"/>
  <c r="D121" i="36"/>
  <c r="C121" i="36"/>
  <c r="K120" i="36"/>
  <c r="J120" i="36"/>
  <c r="I120" i="36"/>
  <c r="D120" i="36"/>
  <c r="C120" i="36"/>
  <c r="K119" i="36"/>
  <c r="J119" i="36"/>
  <c r="I119" i="36"/>
  <c r="D119" i="36"/>
  <c r="C119" i="36"/>
  <c r="K118" i="36"/>
  <c r="J118" i="36"/>
  <c r="I118" i="36"/>
  <c r="D118" i="36"/>
  <c r="C118" i="36"/>
  <c r="K117" i="36"/>
  <c r="J117" i="36"/>
  <c r="I117" i="36"/>
  <c r="D117" i="36"/>
  <c r="C117" i="36"/>
  <c r="K116" i="36"/>
  <c r="J116" i="36"/>
  <c r="I116" i="36"/>
  <c r="D116" i="36"/>
  <c r="C116" i="36"/>
  <c r="K115" i="36"/>
  <c r="J115" i="36"/>
  <c r="I115" i="36"/>
  <c r="D115" i="36"/>
  <c r="C115" i="36"/>
  <c r="K114" i="36"/>
  <c r="J114" i="36"/>
  <c r="I114" i="36"/>
  <c r="D114" i="36"/>
  <c r="C114" i="36"/>
  <c r="K113" i="36"/>
  <c r="J113" i="36"/>
  <c r="I113" i="36"/>
  <c r="D113" i="36"/>
  <c r="C113" i="36"/>
  <c r="K112" i="36"/>
  <c r="J112" i="36"/>
  <c r="I112" i="36"/>
  <c r="D112" i="36"/>
  <c r="C112" i="36"/>
  <c r="K111" i="36"/>
  <c r="J111" i="36"/>
  <c r="I111" i="36"/>
  <c r="D111" i="36"/>
  <c r="C111" i="36"/>
  <c r="K110" i="36"/>
  <c r="J110" i="36"/>
  <c r="I110" i="36"/>
  <c r="D110" i="36"/>
  <c r="C110" i="36"/>
  <c r="K109" i="36"/>
  <c r="J109" i="36"/>
  <c r="I109" i="36"/>
  <c r="D109" i="36"/>
  <c r="C109" i="36"/>
  <c r="K108" i="36"/>
  <c r="J108" i="36"/>
  <c r="I108" i="36"/>
  <c r="D108" i="36"/>
  <c r="C108" i="36"/>
  <c r="K107" i="36"/>
  <c r="J107" i="36"/>
  <c r="I107" i="36"/>
  <c r="D107" i="36"/>
  <c r="C107" i="36"/>
  <c r="K106" i="36"/>
  <c r="J106" i="36"/>
  <c r="I106" i="36"/>
  <c r="D106" i="36"/>
  <c r="C106" i="36"/>
  <c r="K105" i="36"/>
  <c r="J105" i="36"/>
  <c r="I105" i="36"/>
  <c r="D105" i="36"/>
  <c r="C105" i="36"/>
  <c r="K104" i="36"/>
  <c r="J104" i="36"/>
  <c r="I104" i="36"/>
  <c r="D104" i="36"/>
  <c r="C104" i="36"/>
  <c r="K103" i="36"/>
  <c r="J103" i="36"/>
  <c r="I103" i="36"/>
  <c r="D103" i="36"/>
  <c r="C103" i="36"/>
  <c r="K102" i="36"/>
  <c r="J102" i="36"/>
  <c r="I102" i="36"/>
  <c r="D102" i="36"/>
  <c r="C102" i="36"/>
  <c r="K101" i="36"/>
  <c r="J101" i="36"/>
  <c r="I101" i="36"/>
  <c r="D101" i="36"/>
  <c r="C101" i="36"/>
  <c r="K100" i="36"/>
  <c r="J100" i="36"/>
  <c r="I100" i="36"/>
  <c r="D100" i="36"/>
  <c r="C100" i="36"/>
  <c r="K99" i="36"/>
  <c r="J99" i="36"/>
  <c r="I99" i="36"/>
  <c r="D99" i="36"/>
  <c r="C99" i="36"/>
  <c r="K98" i="36"/>
  <c r="J98" i="36"/>
  <c r="I98" i="36"/>
  <c r="D98" i="36"/>
  <c r="C98" i="36"/>
  <c r="K97" i="36"/>
  <c r="J97" i="36"/>
  <c r="I97" i="36"/>
  <c r="D97" i="36"/>
  <c r="C97" i="36"/>
  <c r="K96" i="36"/>
  <c r="J96" i="36"/>
  <c r="I96" i="36"/>
  <c r="D96" i="36"/>
  <c r="C96" i="36"/>
  <c r="K95" i="36"/>
  <c r="J95" i="36"/>
  <c r="I95" i="36"/>
  <c r="D95" i="36"/>
  <c r="C95" i="36"/>
  <c r="K94" i="36"/>
  <c r="J94" i="36"/>
  <c r="I94" i="36"/>
  <c r="D94" i="36"/>
  <c r="C94" i="36"/>
  <c r="K93" i="36"/>
  <c r="J93" i="36"/>
  <c r="I93" i="36"/>
  <c r="D93" i="36"/>
  <c r="C93" i="36"/>
  <c r="K92" i="36"/>
  <c r="J92" i="36"/>
  <c r="I92" i="36"/>
  <c r="D92" i="36"/>
  <c r="C92" i="36"/>
  <c r="K91" i="36"/>
  <c r="J91" i="36"/>
  <c r="I91" i="36"/>
  <c r="D91" i="36"/>
  <c r="C91" i="36"/>
  <c r="K90" i="36"/>
  <c r="J90" i="36"/>
  <c r="I90" i="36"/>
  <c r="D90" i="36"/>
  <c r="C90" i="36"/>
  <c r="K89" i="36"/>
  <c r="J89" i="36"/>
  <c r="I89" i="36"/>
  <c r="D89" i="36"/>
  <c r="C89" i="36"/>
  <c r="K88" i="36"/>
  <c r="J88" i="36"/>
  <c r="I88" i="36"/>
  <c r="D88" i="36"/>
  <c r="C88" i="36"/>
  <c r="K87" i="36"/>
  <c r="J87" i="36"/>
  <c r="I87" i="36"/>
  <c r="D87" i="36"/>
  <c r="C87" i="36"/>
  <c r="K86" i="36"/>
  <c r="J86" i="36"/>
  <c r="I86" i="36"/>
  <c r="D86" i="36"/>
  <c r="C86" i="36"/>
  <c r="K85" i="36"/>
  <c r="J85" i="36"/>
  <c r="I85" i="36"/>
  <c r="D85" i="36"/>
  <c r="C85" i="36"/>
  <c r="K84" i="36"/>
  <c r="J84" i="36"/>
  <c r="I84" i="36"/>
  <c r="D84" i="36"/>
  <c r="C84" i="36"/>
  <c r="K83" i="36"/>
  <c r="J83" i="36"/>
  <c r="I83" i="36"/>
  <c r="D83" i="36"/>
  <c r="C83" i="36"/>
  <c r="K82" i="36"/>
  <c r="J82" i="36"/>
  <c r="I82" i="36"/>
  <c r="D82" i="36"/>
  <c r="C82" i="36"/>
  <c r="K81" i="36"/>
  <c r="J81" i="36"/>
  <c r="I81" i="36"/>
  <c r="D81" i="36"/>
  <c r="C81" i="36"/>
  <c r="K80" i="36"/>
  <c r="J80" i="36"/>
  <c r="I80" i="36"/>
  <c r="D80" i="36"/>
  <c r="C80" i="36"/>
  <c r="K79" i="36"/>
  <c r="J79" i="36"/>
  <c r="I79" i="36"/>
  <c r="D79" i="36"/>
  <c r="C79" i="36"/>
  <c r="K78" i="36"/>
  <c r="J78" i="36"/>
  <c r="I78" i="36"/>
  <c r="D78" i="36"/>
  <c r="C78" i="36"/>
  <c r="K77" i="36"/>
  <c r="J77" i="36"/>
  <c r="I77" i="36"/>
  <c r="D77" i="36"/>
  <c r="C77" i="36"/>
  <c r="A77" i="36"/>
  <c r="A78" i="36" s="1"/>
  <c r="A79" i="36" s="1"/>
  <c r="A80" i="36" s="1"/>
  <c r="A81" i="36" s="1"/>
  <c r="A82" i="36" s="1"/>
  <c r="A83" i="36" s="1"/>
  <c r="A84" i="36" s="1"/>
  <c r="A85" i="36" s="1"/>
  <c r="A86" i="36" s="1"/>
  <c r="A87" i="36" s="1"/>
  <c r="A88" i="36" s="1"/>
  <c r="A89" i="36" s="1"/>
  <c r="A90" i="36" s="1"/>
  <c r="A91" i="36" s="1"/>
  <c r="A92" i="36" s="1"/>
  <c r="A93" i="36" s="1"/>
  <c r="A94" i="36" s="1"/>
  <c r="A95" i="36" s="1"/>
  <c r="A96" i="36" s="1"/>
  <c r="A97" i="36" s="1"/>
  <c r="A98" i="36" s="1"/>
  <c r="A99" i="36" s="1"/>
  <c r="A100" i="36" s="1"/>
  <c r="A101" i="36" s="1"/>
  <c r="A102" i="36" s="1"/>
  <c r="A103" i="36" s="1"/>
  <c r="A104" i="36" s="1"/>
  <c r="A105" i="36" s="1"/>
  <c r="A106" i="36" s="1"/>
  <c r="A107" i="36" s="1"/>
  <c r="A108" i="36" s="1"/>
  <c r="A109" i="36" s="1"/>
  <c r="A110" i="36" s="1"/>
  <c r="A111" i="36" s="1"/>
  <c r="A112" i="36" s="1"/>
  <c r="A113" i="36" s="1"/>
  <c r="A114" i="36" s="1"/>
  <c r="A115" i="36" s="1"/>
  <c r="A116" i="36" s="1"/>
  <c r="A117" i="36" s="1"/>
  <c r="A118" i="36" s="1"/>
  <c r="A119" i="36" s="1"/>
  <c r="A120" i="36" s="1"/>
  <c r="A121" i="36" s="1"/>
  <c r="A122" i="36" s="1"/>
  <c r="A123" i="36" s="1"/>
  <c r="A124" i="36" s="1"/>
  <c r="A125" i="36" s="1"/>
  <c r="A126" i="36" s="1"/>
  <c r="A127" i="36" s="1"/>
  <c r="A128" i="36" s="1"/>
  <c r="A129" i="36" s="1"/>
  <c r="A130" i="36" s="1"/>
  <c r="A131" i="36" s="1"/>
  <c r="A132" i="36" s="1"/>
  <c r="A133" i="36" s="1"/>
  <c r="A134" i="36" s="1"/>
  <c r="A135" i="36" s="1"/>
  <c r="A136" i="36" s="1"/>
  <c r="A137" i="36" s="1"/>
  <c r="A138" i="36" s="1"/>
  <c r="A139" i="36" s="1"/>
  <c r="A140" i="36" s="1"/>
  <c r="A141" i="36" s="1"/>
  <c r="A142" i="36" s="1"/>
  <c r="A143" i="36" s="1"/>
  <c r="A144" i="36" s="1"/>
  <c r="A145" i="36" s="1"/>
  <c r="A146" i="36" s="1"/>
  <c r="A147" i="36" s="1"/>
  <c r="A148" i="36" s="1"/>
  <c r="A149" i="36" s="1"/>
  <c r="A150" i="36" s="1"/>
  <c r="A151" i="36" s="1"/>
  <c r="A152" i="36" s="1"/>
  <c r="A153" i="36" s="1"/>
  <c r="A154" i="36" s="1"/>
  <c r="A155" i="36" s="1"/>
  <c r="A156" i="36" s="1"/>
  <c r="A157" i="36" s="1"/>
  <c r="A158" i="36" s="1"/>
  <c r="A159" i="36" s="1"/>
  <c r="A160" i="36" s="1"/>
  <c r="A161" i="36" s="1"/>
  <c r="A162" i="36" s="1"/>
  <c r="A163" i="36" s="1"/>
  <c r="A164" i="36" s="1"/>
  <c r="A165" i="36" s="1"/>
  <c r="A166" i="36" s="1"/>
  <c r="A167" i="36" s="1"/>
  <c r="A168" i="36" s="1"/>
  <c r="A169" i="36" s="1"/>
  <c r="A170" i="36" s="1"/>
  <c r="A171" i="36" s="1"/>
  <c r="A172" i="36" s="1"/>
  <c r="A173" i="36" s="1"/>
  <c r="A174" i="36" s="1"/>
  <c r="K76" i="36"/>
  <c r="J76" i="36"/>
  <c r="I76" i="36"/>
  <c r="D76" i="36"/>
  <c r="C76" i="36"/>
  <c r="S72" i="36"/>
  <c r="R72" i="36"/>
  <c r="Q72" i="36"/>
  <c r="O72" i="36"/>
  <c r="N72" i="36"/>
  <c r="M72" i="36"/>
  <c r="F72" i="36"/>
  <c r="E72" i="36"/>
  <c r="A72" i="36"/>
  <c r="D26" i="5" s="1"/>
  <c r="S71" i="36"/>
  <c r="R71" i="36"/>
  <c r="Q71" i="36"/>
  <c r="O71" i="36"/>
  <c r="N71" i="36"/>
  <c r="M71" i="36"/>
  <c r="F68" i="36"/>
  <c r="E68" i="36"/>
  <c r="F67" i="36"/>
  <c r="E67" i="36"/>
  <c r="F66" i="36"/>
  <c r="E66" i="36"/>
  <c r="K65" i="36"/>
  <c r="J65" i="36"/>
  <c r="I65" i="36"/>
  <c r="D65" i="36"/>
  <c r="C65" i="36"/>
  <c r="K64" i="36"/>
  <c r="J64" i="36"/>
  <c r="I64" i="36"/>
  <c r="D64" i="36"/>
  <c r="C64" i="36"/>
  <c r="K63" i="36"/>
  <c r="J63" i="36"/>
  <c r="I63" i="36"/>
  <c r="D63" i="36"/>
  <c r="C63" i="36"/>
  <c r="K62" i="36"/>
  <c r="J62" i="36"/>
  <c r="I62" i="36"/>
  <c r="D62" i="36"/>
  <c r="C62" i="36"/>
  <c r="K61" i="36"/>
  <c r="J61" i="36"/>
  <c r="I61" i="36"/>
  <c r="D61" i="36"/>
  <c r="C61" i="36"/>
  <c r="K60" i="36"/>
  <c r="J60" i="36"/>
  <c r="I60" i="36"/>
  <c r="D60" i="36"/>
  <c r="C60" i="36"/>
  <c r="K59" i="36"/>
  <c r="J59" i="36"/>
  <c r="I59" i="36"/>
  <c r="D59" i="36"/>
  <c r="C59" i="36"/>
  <c r="K58" i="36"/>
  <c r="J58" i="36"/>
  <c r="I58" i="36"/>
  <c r="D58" i="36"/>
  <c r="C58" i="36"/>
  <c r="K57" i="36"/>
  <c r="J57" i="36"/>
  <c r="I57" i="36"/>
  <c r="D57" i="36"/>
  <c r="C57" i="36"/>
  <c r="K56" i="36"/>
  <c r="J56" i="36"/>
  <c r="I56" i="36"/>
  <c r="D56" i="36"/>
  <c r="C56" i="36"/>
  <c r="K55" i="36"/>
  <c r="J55" i="36"/>
  <c r="I55" i="36"/>
  <c r="D55" i="36"/>
  <c r="C55" i="36"/>
  <c r="K54" i="36"/>
  <c r="J54" i="36"/>
  <c r="I54" i="36"/>
  <c r="D54" i="36"/>
  <c r="C54" i="36"/>
  <c r="K53" i="36"/>
  <c r="J53" i="36"/>
  <c r="I53" i="36"/>
  <c r="D53" i="36"/>
  <c r="C53" i="36"/>
  <c r="K52" i="36"/>
  <c r="J52" i="36"/>
  <c r="I52" i="36"/>
  <c r="D52" i="36"/>
  <c r="C52" i="36"/>
  <c r="K51" i="36"/>
  <c r="J51" i="36"/>
  <c r="I51" i="36"/>
  <c r="D51" i="36"/>
  <c r="C51" i="36"/>
  <c r="K50" i="36"/>
  <c r="J50" i="36"/>
  <c r="I50" i="36"/>
  <c r="D50" i="36"/>
  <c r="C50" i="36"/>
  <c r="K49" i="36"/>
  <c r="J49" i="36"/>
  <c r="I49" i="36"/>
  <c r="D49" i="36"/>
  <c r="C49" i="36"/>
  <c r="K48" i="36"/>
  <c r="J48" i="36"/>
  <c r="I48" i="36"/>
  <c r="D48" i="36"/>
  <c r="C48" i="36"/>
  <c r="K47" i="36"/>
  <c r="J47" i="36"/>
  <c r="I47" i="36"/>
  <c r="D47" i="36"/>
  <c r="C47" i="36"/>
  <c r="K46" i="36"/>
  <c r="J46" i="36"/>
  <c r="I46" i="36"/>
  <c r="D46" i="36"/>
  <c r="C46" i="36"/>
  <c r="K45" i="36"/>
  <c r="J45" i="36"/>
  <c r="I45" i="36"/>
  <c r="D45" i="36"/>
  <c r="C45" i="36"/>
  <c r="K44" i="36"/>
  <c r="J44" i="36"/>
  <c r="I44" i="36"/>
  <c r="D44" i="36"/>
  <c r="C44" i="36"/>
  <c r="K43" i="36"/>
  <c r="J43" i="36"/>
  <c r="I43" i="36"/>
  <c r="D43" i="36"/>
  <c r="C43" i="36"/>
  <c r="K42" i="36"/>
  <c r="J42" i="36"/>
  <c r="I42" i="36"/>
  <c r="D42" i="36"/>
  <c r="C42" i="36"/>
  <c r="K41" i="36"/>
  <c r="J41" i="36"/>
  <c r="I41" i="36"/>
  <c r="D41" i="36"/>
  <c r="C41" i="36"/>
  <c r="K40" i="36"/>
  <c r="J40" i="36"/>
  <c r="I40" i="36"/>
  <c r="D40" i="36"/>
  <c r="C40" i="36"/>
  <c r="K39" i="36"/>
  <c r="J39" i="36"/>
  <c r="I39" i="36"/>
  <c r="D39" i="36"/>
  <c r="C39" i="36"/>
  <c r="K38" i="36"/>
  <c r="J38" i="36"/>
  <c r="I38" i="36"/>
  <c r="D38" i="36"/>
  <c r="C38" i="36"/>
  <c r="K37" i="36"/>
  <c r="J37" i="36"/>
  <c r="I37" i="36"/>
  <c r="D37" i="36"/>
  <c r="C37" i="36"/>
  <c r="K36" i="36"/>
  <c r="J36" i="36"/>
  <c r="I36" i="36"/>
  <c r="D36" i="36"/>
  <c r="C36" i="36"/>
  <c r="K35" i="36"/>
  <c r="J35" i="36"/>
  <c r="I35" i="36"/>
  <c r="D35" i="36"/>
  <c r="C35" i="36"/>
  <c r="K34" i="36"/>
  <c r="J34" i="36"/>
  <c r="I34" i="36"/>
  <c r="D34" i="36"/>
  <c r="C34" i="36"/>
  <c r="K33" i="36"/>
  <c r="J33" i="36"/>
  <c r="I33" i="36"/>
  <c r="D33" i="36"/>
  <c r="C33" i="36"/>
  <c r="K32" i="36"/>
  <c r="J32" i="36"/>
  <c r="I32" i="36"/>
  <c r="D32" i="36"/>
  <c r="C32" i="36"/>
  <c r="K31" i="36"/>
  <c r="J31" i="36"/>
  <c r="I31" i="36"/>
  <c r="D31" i="36"/>
  <c r="C31" i="36"/>
  <c r="K30" i="36"/>
  <c r="J30" i="36"/>
  <c r="I30" i="36"/>
  <c r="D30" i="36"/>
  <c r="C30" i="36"/>
  <c r="K29" i="36"/>
  <c r="J29" i="36"/>
  <c r="I29" i="36"/>
  <c r="D29" i="36"/>
  <c r="C29" i="36"/>
  <c r="A29" i="36"/>
  <c r="A30" i="36" s="1"/>
  <c r="A31" i="36" s="1"/>
  <c r="A32" i="36" s="1"/>
  <c r="A33" i="36" s="1"/>
  <c r="A34" i="36" s="1"/>
  <c r="A35" i="36" s="1"/>
  <c r="A36" i="36" s="1"/>
  <c r="A37" i="36" s="1"/>
  <c r="A38" i="36" s="1"/>
  <c r="A39" i="36" s="1"/>
  <c r="A40" i="36" s="1"/>
  <c r="A41" i="36" s="1"/>
  <c r="A42" i="36" s="1"/>
  <c r="A43" i="36" s="1"/>
  <c r="A44" i="36" s="1"/>
  <c r="A45" i="36" s="1"/>
  <c r="A46" i="36" s="1"/>
  <c r="A47" i="36" s="1"/>
  <c r="A48" i="36" s="1"/>
  <c r="A49" i="36" s="1"/>
  <c r="A50" i="36" s="1"/>
  <c r="A51" i="36" s="1"/>
  <c r="A52" i="36" s="1"/>
  <c r="A53" i="36" s="1"/>
  <c r="A54" i="36" s="1"/>
  <c r="A55" i="36" s="1"/>
  <c r="A56" i="36" s="1"/>
  <c r="A57" i="36" s="1"/>
  <c r="A58" i="36" s="1"/>
  <c r="A59" i="36" s="1"/>
  <c r="A60" i="36" s="1"/>
  <c r="A61" i="36" s="1"/>
  <c r="A62" i="36" s="1"/>
  <c r="A63" i="36" s="1"/>
  <c r="A64" i="36" s="1"/>
  <c r="A65" i="36" s="1"/>
  <c r="A66" i="36" s="1"/>
  <c r="A67" i="36" s="1"/>
  <c r="A68" i="36" s="1"/>
  <c r="K28" i="36"/>
  <c r="J28" i="36"/>
  <c r="I28" i="36"/>
  <c r="D28" i="36"/>
  <c r="C28" i="36"/>
  <c r="A24" i="36"/>
  <c r="D18" i="5" s="1"/>
  <c r="S23" i="36"/>
  <c r="R23" i="36"/>
  <c r="Q23" i="36"/>
  <c r="O23" i="36"/>
  <c r="N23" i="36"/>
  <c r="M23" i="36"/>
  <c r="F21" i="36"/>
  <c r="E21" i="36"/>
  <c r="F20" i="36"/>
  <c r="E20" i="36"/>
  <c r="F19" i="36"/>
  <c r="E19" i="36"/>
  <c r="K17" i="36"/>
  <c r="K23" i="36" s="1"/>
  <c r="J17" i="36"/>
  <c r="J23" i="36" s="1"/>
  <c r="I17" i="36"/>
  <c r="I23" i="36" s="1"/>
  <c r="D17" i="36"/>
  <c r="D23" i="36" s="1"/>
  <c r="C17" i="36"/>
  <c r="C23" i="36" s="1"/>
  <c r="B21" i="7"/>
  <c r="B11" i="7"/>
  <c r="K27" i="8"/>
  <c r="K31" i="8" s="1"/>
  <c r="G15" i="2" s="1"/>
  <c r="L15" i="2" s="1"/>
  <c r="G10" i="5"/>
  <c r="E10" i="5"/>
  <c r="O8" i="13"/>
  <c r="C9" i="7"/>
  <c r="D12" i="9"/>
  <c r="I65" i="6"/>
  <c r="K65" i="6" s="1"/>
  <c r="E65" i="6" s="1"/>
  <c r="E69" i="6"/>
  <c r="I74" i="6"/>
  <c r="K74" i="6" s="1"/>
  <c r="J76" i="6"/>
  <c r="K76" i="6" s="1"/>
  <c r="E76" i="6" s="1"/>
  <c r="J51" i="6"/>
  <c r="K51" i="6" s="1"/>
  <c r="E51" i="6" s="1"/>
  <c r="J53" i="6"/>
  <c r="K53" i="6" s="1"/>
  <c r="E53" i="6" s="1"/>
  <c r="I50" i="6"/>
  <c r="K50" i="6" s="1"/>
  <c r="E50" i="6" s="1"/>
  <c r="E17" i="2"/>
  <c r="A91" i="34"/>
  <c r="M54" i="11"/>
  <c r="I12" i="6"/>
  <c r="G12" i="6"/>
  <c r="I10" i="5"/>
  <c r="O159" i="13"/>
  <c r="M159" i="13"/>
  <c r="O158" i="13"/>
  <c r="M158" i="13"/>
  <c r="O157" i="13"/>
  <c r="M157" i="13"/>
  <c r="O156" i="13"/>
  <c r="M156" i="13"/>
  <c r="O155" i="13"/>
  <c r="M155" i="13"/>
  <c r="O154" i="13"/>
  <c r="M154" i="13"/>
  <c r="O153" i="13"/>
  <c r="M153" i="13"/>
  <c r="O152" i="13"/>
  <c r="M152" i="13"/>
  <c r="O151" i="13"/>
  <c r="M151" i="13"/>
  <c r="O150" i="13"/>
  <c r="M150" i="13"/>
  <c r="O149" i="13"/>
  <c r="M149" i="13"/>
  <c r="O148" i="13"/>
  <c r="M148" i="13"/>
  <c r="O147" i="13"/>
  <c r="M147" i="13"/>
  <c r="O146" i="13"/>
  <c r="M146" i="13"/>
  <c r="O145" i="13"/>
  <c r="M145" i="13"/>
  <c r="O144" i="13"/>
  <c r="M144" i="13"/>
  <c r="O143" i="13"/>
  <c r="M143" i="13"/>
  <c r="O142" i="13"/>
  <c r="M142" i="13"/>
  <c r="O141" i="13"/>
  <c r="M141" i="13"/>
  <c r="O140" i="13"/>
  <c r="M140" i="13"/>
  <c r="O139" i="13"/>
  <c r="M139" i="13"/>
  <c r="O138" i="13"/>
  <c r="M138" i="13"/>
  <c r="O137" i="13"/>
  <c r="M137" i="13"/>
  <c r="O136" i="13"/>
  <c r="M136" i="13"/>
  <c r="O135" i="13"/>
  <c r="M135" i="13"/>
  <c r="O134" i="13"/>
  <c r="M134" i="13"/>
  <c r="O133" i="13"/>
  <c r="M133" i="13"/>
  <c r="O132" i="13"/>
  <c r="M132" i="13"/>
  <c r="O131" i="13"/>
  <c r="M131" i="13"/>
  <c r="O130" i="13"/>
  <c r="M130" i="13"/>
  <c r="O129" i="13"/>
  <c r="M129" i="13"/>
  <c r="O128" i="13"/>
  <c r="M128" i="13"/>
  <c r="O127" i="13"/>
  <c r="M127" i="13"/>
  <c r="O126" i="13"/>
  <c r="M126" i="13"/>
  <c r="O125" i="13"/>
  <c r="M125" i="13"/>
  <c r="O124" i="13"/>
  <c r="M124" i="13"/>
  <c r="O123" i="13"/>
  <c r="M123" i="13"/>
  <c r="O122" i="13"/>
  <c r="M122" i="13"/>
  <c r="O121" i="13"/>
  <c r="M121" i="13"/>
  <c r="O120" i="13"/>
  <c r="M120" i="13"/>
  <c r="O119" i="13"/>
  <c r="M119" i="13"/>
  <c r="O118" i="13"/>
  <c r="M118" i="13"/>
  <c r="O117" i="13"/>
  <c r="M117" i="13"/>
  <c r="O116" i="13"/>
  <c r="M116" i="13"/>
  <c r="O115" i="13"/>
  <c r="M115" i="13"/>
  <c r="O114" i="13"/>
  <c r="M114" i="13"/>
  <c r="O113" i="13"/>
  <c r="M113" i="13"/>
  <c r="O112" i="13"/>
  <c r="M112" i="13"/>
  <c r="O111" i="13"/>
  <c r="M111" i="13"/>
  <c r="O110" i="13"/>
  <c r="M110" i="13"/>
  <c r="O109" i="13"/>
  <c r="M109" i="13"/>
  <c r="O108" i="13"/>
  <c r="M108" i="13"/>
  <c r="O107" i="13"/>
  <c r="M107" i="13"/>
  <c r="O106" i="13"/>
  <c r="M106" i="13"/>
  <c r="O105" i="13"/>
  <c r="M105" i="13"/>
  <c r="O104" i="13"/>
  <c r="M104" i="13"/>
  <c r="O103" i="13"/>
  <c r="M103" i="13"/>
  <c r="O102" i="13"/>
  <c r="M102" i="13"/>
  <c r="C101" i="13"/>
  <c r="C102" i="13"/>
  <c r="C103" i="13"/>
  <c r="C104" i="13"/>
  <c r="C105" i="13"/>
  <c r="C106" i="13"/>
  <c r="C107" i="13"/>
  <c r="C108" i="13"/>
  <c r="C109" i="13"/>
  <c r="C110" i="13"/>
  <c r="C111" i="13"/>
  <c r="C112" i="13"/>
  <c r="C113" i="13"/>
  <c r="C114" i="13"/>
  <c r="C115" i="13"/>
  <c r="C116" i="13"/>
  <c r="C117" i="13"/>
  <c r="C118" i="13"/>
  <c r="C119" i="13"/>
  <c r="C120" i="13"/>
  <c r="C121" i="13"/>
  <c r="C122" i="13"/>
  <c r="C123" i="13"/>
  <c r="C124" i="13"/>
  <c r="C125" i="13"/>
  <c r="C126" i="13"/>
  <c r="C127" i="13"/>
  <c r="C128" i="13"/>
  <c r="C129" i="13"/>
  <c r="D100" i="13"/>
  <c r="C100" i="13"/>
  <c r="L95" i="13"/>
  <c r="J94" i="13"/>
  <c r="C102" i="20"/>
  <c r="C103" i="20"/>
  <c r="C104" i="20"/>
  <c r="C105" i="20"/>
  <c r="C106" i="20"/>
  <c r="C107" i="20"/>
  <c r="C108" i="20"/>
  <c r="C109" i="20"/>
  <c r="C110" i="20"/>
  <c r="C111" i="20"/>
  <c r="C112" i="20"/>
  <c r="C113" i="20"/>
  <c r="C114" i="20"/>
  <c r="C115" i="20"/>
  <c r="C116" i="20"/>
  <c r="C117" i="20"/>
  <c r="C118" i="20"/>
  <c r="C119" i="20"/>
  <c r="C120" i="20"/>
  <c r="C121" i="20"/>
  <c r="C122" i="20"/>
  <c r="C123" i="20"/>
  <c r="C124" i="20"/>
  <c r="C125" i="20"/>
  <c r="C126" i="20"/>
  <c r="C127" i="20"/>
  <c r="C128" i="20"/>
  <c r="C129" i="20"/>
  <c r="C130" i="20"/>
  <c r="C131" i="20"/>
  <c r="C132" i="20"/>
  <c r="C133" i="20"/>
  <c r="C134" i="20"/>
  <c r="C135" i="20"/>
  <c r="C136" i="20"/>
  <c r="C137" i="20"/>
  <c r="C138" i="20"/>
  <c r="C139" i="20"/>
  <c r="C140" i="20"/>
  <c r="C141" i="20"/>
  <c r="C142" i="20"/>
  <c r="C143" i="20"/>
  <c r="C144" i="20"/>
  <c r="C145" i="20"/>
  <c r="C146" i="20"/>
  <c r="C147" i="20"/>
  <c r="C148" i="20"/>
  <c r="C149" i="20"/>
  <c r="C150" i="20"/>
  <c r="C151" i="20"/>
  <c r="C152" i="20"/>
  <c r="C153" i="20"/>
  <c r="C154" i="20"/>
  <c r="C155" i="20"/>
  <c r="C156" i="20"/>
  <c r="C157" i="20"/>
  <c r="C158" i="20"/>
  <c r="C159" i="20"/>
  <c r="C160" i="20"/>
  <c r="D101" i="20"/>
  <c r="C101" i="20"/>
  <c r="K96" i="20"/>
  <c r="I95" i="20"/>
  <c r="D298" i="2"/>
  <c r="M23" i="13"/>
  <c r="C60" i="20"/>
  <c r="A4" i="34"/>
  <c r="C47" i="13"/>
  <c r="C47" i="20"/>
  <c r="D60" i="6"/>
  <c r="B58" i="6" s="1"/>
  <c r="D36" i="6"/>
  <c r="B34" i="6" s="1"/>
  <c r="C29" i="6"/>
  <c r="C30" i="6"/>
  <c r="L17" i="2"/>
  <c r="A4" i="21"/>
  <c r="B4" i="14"/>
  <c r="A4" i="13"/>
  <c r="A4" i="20"/>
  <c r="F16" i="13"/>
  <c r="F18" i="13" s="1"/>
  <c r="E23" i="13" s="1"/>
  <c r="F16" i="20"/>
  <c r="F18" i="20" s="1"/>
  <c r="E23" i="20" s="1"/>
  <c r="A4" i="12"/>
  <c r="A4" i="31"/>
  <c r="A4" i="11"/>
  <c r="A4" i="10"/>
  <c r="A4" i="9"/>
  <c r="A4" i="8"/>
  <c r="A4" i="7"/>
  <c r="A4" i="6"/>
  <c r="E12" i="6"/>
  <c r="A4" i="5"/>
  <c r="J150" i="2"/>
  <c r="L150" i="2" s="1"/>
  <c r="G48" i="20" s="1"/>
  <c r="F7" i="2"/>
  <c r="F53" i="2" s="1"/>
  <c r="F117" i="2" s="1"/>
  <c r="F196" i="2" s="1"/>
  <c r="F260" i="2" s="1"/>
  <c r="C112" i="34"/>
  <c r="J24" i="34"/>
  <c r="K72" i="6"/>
  <c r="E198" i="34"/>
  <c r="E186" i="34"/>
  <c r="G79" i="6"/>
  <c r="G30" i="6" s="1"/>
  <c r="K71" i="6"/>
  <c r="K70" i="6"/>
  <c r="E70" i="6" s="1"/>
  <c r="K69" i="6"/>
  <c r="K68" i="6"/>
  <c r="E68" i="6" s="1"/>
  <c r="K67" i="6"/>
  <c r="E67" i="6" s="1"/>
  <c r="K66" i="6"/>
  <c r="E66" i="6" s="1"/>
  <c r="A17" i="11"/>
  <c r="A19" i="11" s="1"/>
  <c r="A20" i="11" s="1"/>
  <c r="A21" i="11" s="1"/>
  <c r="A22" i="11" s="1"/>
  <c r="A23" i="11" s="1"/>
  <c r="A25" i="11" s="1"/>
  <c r="A26" i="11" s="1"/>
  <c r="A27" i="11" s="1"/>
  <c r="A28" i="11" s="1"/>
  <c r="A30" i="11" s="1"/>
  <c r="A31" i="11" s="1"/>
  <c r="A33" i="11" s="1"/>
  <c r="A34" i="11" s="1"/>
  <c r="A35" i="11" s="1"/>
  <c r="A36" i="11" s="1"/>
  <c r="A37" i="11" s="1"/>
  <c r="A38" i="11" s="1"/>
  <c r="A39" i="11" s="1"/>
  <c r="A40" i="11" s="1"/>
  <c r="A41" i="11" s="1"/>
  <c r="A43" i="11" s="1"/>
  <c r="E164" i="2" s="1"/>
  <c r="E51" i="11"/>
  <c r="E53" i="11" s="1"/>
  <c r="E55" i="11" s="1"/>
  <c r="I51" i="11"/>
  <c r="E66" i="11"/>
  <c r="E56" i="11"/>
  <c r="I66" i="11"/>
  <c r="I56" i="11"/>
  <c r="C50" i="11"/>
  <c r="M41" i="11"/>
  <c r="C31" i="34"/>
  <c r="C32" i="34" s="1"/>
  <c r="C37" i="34"/>
  <c r="C38" i="34" s="1"/>
  <c r="C43" i="34"/>
  <c r="C44" i="34" s="1"/>
  <c r="C49" i="34"/>
  <c r="E31" i="34"/>
  <c r="E32" i="34" s="1"/>
  <c r="E37" i="34"/>
  <c r="E38" i="34" s="1"/>
  <c r="E43" i="34"/>
  <c r="E44" i="34" s="1"/>
  <c r="E49" i="34"/>
  <c r="F31" i="34"/>
  <c r="F32" i="34" s="1"/>
  <c r="F37" i="34"/>
  <c r="F38" i="34" s="1"/>
  <c r="F43" i="34"/>
  <c r="F44" i="34" s="1"/>
  <c r="F49" i="34"/>
  <c r="F50" i="34" s="1"/>
  <c r="G31" i="34"/>
  <c r="G32" i="34" s="1"/>
  <c r="G37" i="34"/>
  <c r="G38" i="34" s="1"/>
  <c r="G43" i="34"/>
  <c r="G44" i="34" s="1"/>
  <c r="G49" i="34"/>
  <c r="G50" i="34" s="1"/>
  <c r="H31" i="34"/>
  <c r="H32" i="34" s="1"/>
  <c r="H37" i="34"/>
  <c r="H38" i="34" s="1"/>
  <c r="H43" i="34"/>
  <c r="H44" i="34" s="1"/>
  <c r="H49" i="34"/>
  <c r="H50" i="34" s="1"/>
  <c r="I31" i="34"/>
  <c r="I32" i="34" s="1"/>
  <c r="I37" i="34"/>
  <c r="I38" i="34" s="1"/>
  <c r="I43" i="34"/>
  <c r="I44" i="34" s="1"/>
  <c r="I49" i="34"/>
  <c r="I50" i="34" s="1"/>
  <c r="F11" i="10"/>
  <c r="F15" i="10"/>
  <c r="F19" i="10"/>
  <c r="F23" i="10"/>
  <c r="F27" i="10"/>
  <c r="C14" i="34"/>
  <c r="C63" i="34" s="1"/>
  <c r="J10" i="34"/>
  <c r="J9" i="34"/>
  <c r="J11" i="34"/>
  <c r="J13" i="34"/>
  <c r="J56" i="34"/>
  <c r="J58" i="34"/>
  <c r="J59" i="34"/>
  <c r="F14" i="34"/>
  <c r="F63" i="34" s="1"/>
  <c r="G14" i="34"/>
  <c r="G63" i="34" s="1"/>
  <c r="H14" i="34"/>
  <c r="H63" i="34" s="1"/>
  <c r="I14" i="34"/>
  <c r="I63" i="34" s="1"/>
  <c r="J19" i="34"/>
  <c r="J20" i="34"/>
  <c r="J21" i="34"/>
  <c r="J22" i="34"/>
  <c r="J23" i="34"/>
  <c r="D21" i="9"/>
  <c r="G133" i="2" s="1"/>
  <c r="G55" i="6"/>
  <c r="G29" i="6" s="1"/>
  <c r="C21" i="7"/>
  <c r="C23" i="7" s="1"/>
  <c r="G110" i="2" s="1"/>
  <c r="L110" i="2" s="1"/>
  <c r="O17" i="21"/>
  <c r="O22" i="21"/>
  <c r="O27" i="21"/>
  <c r="A10" i="34"/>
  <c r="A11" i="34" s="1"/>
  <c r="A12" i="34" s="1"/>
  <c r="A13" i="34" s="1"/>
  <c r="A14" i="34" s="1"/>
  <c r="A19" i="9"/>
  <c r="A20" i="9" s="1"/>
  <c r="A21" i="9" s="1"/>
  <c r="A24" i="9" s="1"/>
  <c r="A25" i="9" s="1"/>
  <c r="A26" i="9" s="1"/>
  <c r="A27" i="9" s="1"/>
  <c r="A28" i="9" s="1"/>
  <c r="A29" i="9" s="1"/>
  <c r="A30" i="9" s="1"/>
  <c r="A31" i="9" s="1"/>
  <c r="A32" i="9" s="1"/>
  <c r="A33" i="9" s="1"/>
  <c r="F118" i="34"/>
  <c r="F119" i="34" s="1"/>
  <c r="F124" i="34"/>
  <c r="F130" i="34"/>
  <c r="F131" i="34" s="1"/>
  <c r="F136" i="34"/>
  <c r="F137" i="34" s="1"/>
  <c r="F183" i="34"/>
  <c r="F184" i="34"/>
  <c r="F185" i="34"/>
  <c r="F186" i="34"/>
  <c r="F187" i="34"/>
  <c r="F206" i="34"/>
  <c r="F208" i="34"/>
  <c r="F209" i="34"/>
  <c r="F193" i="34"/>
  <c r="F194" i="34"/>
  <c r="F195" i="34"/>
  <c r="F196" i="34"/>
  <c r="F197" i="34"/>
  <c r="F198" i="34"/>
  <c r="E118" i="34"/>
  <c r="E119" i="34" s="1"/>
  <c r="E124" i="34"/>
  <c r="E130" i="34"/>
  <c r="E131" i="34" s="1"/>
  <c r="E136" i="34"/>
  <c r="E137" i="34" s="1"/>
  <c r="G118" i="34"/>
  <c r="G124" i="34"/>
  <c r="G125" i="34" s="1"/>
  <c r="G130" i="34"/>
  <c r="G136" i="34"/>
  <c r="G137" i="34" s="1"/>
  <c r="H118" i="34"/>
  <c r="H124" i="34"/>
  <c r="H125" i="34" s="1"/>
  <c r="H130" i="34"/>
  <c r="H131" i="34" s="1"/>
  <c r="H136" i="34"/>
  <c r="H137" i="34" s="1"/>
  <c r="I118" i="34"/>
  <c r="I119" i="34" s="1"/>
  <c r="I124" i="34"/>
  <c r="I130" i="34"/>
  <c r="I131" i="34" s="1"/>
  <c r="I136" i="34"/>
  <c r="I137" i="34" s="1"/>
  <c r="C118" i="34"/>
  <c r="C124" i="34"/>
  <c r="C125" i="34" s="1"/>
  <c r="C130" i="34"/>
  <c r="C131" i="34" s="1"/>
  <c r="C136" i="34"/>
  <c r="C137" i="34" s="1"/>
  <c r="A201" i="34"/>
  <c r="E194" i="34"/>
  <c r="G194" i="34"/>
  <c r="H194" i="34"/>
  <c r="I194" i="34"/>
  <c r="E195" i="34"/>
  <c r="G195" i="34"/>
  <c r="H195" i="34"/>
  <c r="I195" i="34"/>
  <c r="E196" i="34"/>
  <c r="G196" i="34"/>
  <c r="H196" i="34"/>
  <c r="I196" i="34"/>
  <c r="E197" i="34"/>
  <c r="G197" i="34"/>
  <c r="H197" i="34"/>
  <c r="I197" i="34"/>
  <c r="G198" i="34"/>
  <c r="H198" i="34"/>
  <c r="I198" i="34"/>
  <c r="E193" i="34"/>
  <c r="G193" i="34"/>
  <c r="H193" i="34"/>
  <c r="I193" i="34"/>
  <c r="C197" i="34"/>
  <c r="C195" i="34"/>
  <c r="C196" i="34"/>
  <c r="C194" i="34"/>
  <c r="C193" i="34"/>
  <c r="B199" i="34"/>
  <c r="B196" i="34"/>
  <c r="B197" i="34"/>
  <c r="B198" i="34"/>
  <c r="B194" i="34"/>
  <c r="B195" i="34"/>
  <c r="A192" i="34"/>
  <c r="B193" i="34"/>
  <c r="A13" i="10"/>
  <c r="A17" i="10" s="1"/>
  <c r="A21" i="10" s="1"/>
  <c r="A25" i="10" s="1"/>
  <c r="C183" i="34"/>
  <c r="E183" i="34"/>
  <c r="G183" i="34"/>
  <c r="H183" i="34"/>
  <c r="I183" i="34"/>
  <c r="C184" i="34"/>
  <c r="J184" i="34" s="1"/>
  <c r="E184" i="34"/>
  <c r="G184" i="34"/>
  <c r="H184" i="34"/>
  <c r="I184" i="34"/>
  <c r="C185" i="34"/>
  <c r="J185" i="34" s="1"/>
  <c r="E185" i="34"/>
  <c r="G185" i="34"/>
  <c r="H185" i="34"/>
  <c r="I185" i="34"/>
  <c r="C186" i="34"/>
  <c r="J186" i="34" s="1"/>
  <c r="G186" i="34"/>
  <c r="H186" i="34"/>
  <c r="I186" i="34"/>
  <c r="C187" i="34"/>
  <c r="J187" i="34" s="1"/>
  <c r="E187" i="34"/>
  <c r="G187" i="34"/>
  <c r="H187" i="34"/>
  <c r="I187" i="34"/>
  <c r="C206" i="34"/>
  <c r="J206" i="34" s="1"/>
  <c r="L245" i="2" s="1"/>
  <c r="E206" i="34"/>
  <c r="G206" i="34"/>
  <c r="H206" i="34"/>
  <c r="I206" i="34"/>
  <c r="C208" i="34"/>
  <c r="J208" i="34" s="1"/>
  <c r="L247" i="2" s="1"/>
  <c r="E208" i="34"/>
  <c r="G208" i="34"/>
  <c r="H208" i="34"/>
  <c r="I208" i="34"/>
  <c r="C209" i="34"/>
  <c r="J209" i="34" s="1"/>
  <c r="L248" i="2" s="1"/>
  <c r="E209" i="34"/>
  <c r="G209" i="34"/>
  <c r="H209" i="34"/>
  <c r="I209" i="34"/>
  <c r="J96" i="34"/>
  <c r="J97" i="34"/>
  <c r="J98" i="34"/>
  <c r="J99" i="34"/>
  <c r="J100" i="34"/>
  <c r="J143" i="34"/>
  <c r="J145" i="34"/>
  <c r="J146" i="34"/>
  <c r="A6" i="12"/>
  <c r="F25" i="34"/>
  <c r="G25" i="34"/>
  <c r="H25" i="34"/>
  <c r="I25" i="34"/>
  <c r="C101" i="34"/>
  <c r="C150" i="34" s="1"/>
  <c r="E101" i="34"/>
  <c r="F101" i="34"/>
  <c r="F150" i="34" s="1"/>
  <c r="G101" i="34"/>
  <c r="G150" i="34" s="1"/>
  <c r="H101" i="34"/>
  <c r="H150" i="34" s="1"/>
  <c r="I101" i="34"/>
  <c r="I150" i="34" s="1"/>
  <c r="J106" i="34"/>
  <c r="J107" i="34"/>
  <c r="J108" i="34"/>
  <c r="J109" i="34"/>
  <c r="J110" i="34"/>
  <c r="J111" i="34"/>
  <c r="E112" i="34"/>
  <c r="F112" i="34"/>
  <c r="G112" i="34"/>
  <c r="H112" i="34"/>
  <c r="I112" i="34"/>
  <c r="O3" i="21"/>
  <c r="N3" i="21"/>
  <c r="M3" i="21"/>
  <c r="L3" i="21"/>
  <c r="K3" i="21"/>
  <c r="J3" i="21"/>
  <c r="I3" i="21"/>
  <c r="H3" i="21"/>
  <c r="G3" i="21"/>
  <c r="F3" i="21"/>
  <c r="E3" i="21"/>
  <c r="D3" i="21"/>
  <c r="C3" i="21"/>
  <c r="B3" i="21"/>
  <c r="A3" i="21"/>
  <c r="E3" i="14"/>
  <c r="D3" i="14"/>
  <c r="C3" i="14"/>
  <c r="B3" i="14"/>
  <c r="P3" i="13"/>
  <c r="O3" i="13"/>
  <c r="N3" i="13"/>
  <c r="M3" i="13"/>
  <c r="L3" i="13"/>
  <c r="K3" i="13"/>
  <c r="J3" i="13"/>
  <c r="I3" i="13"/>
  <c r="H3" i="13"/>
  <c r="G3" i="13"/>
  <c r="F3" i="13"/>
  <c r="E3" i="13"/>
  <c r="D3" i="13"/>
  <c r="C3" i="13"/>
  <c r="B3" i="13"/>
  <c r="A3" i="13"/>
  <c r="O3" i="20"/>
  <c r="N3" i="20"/>
  <c r="M3" i="20"/>
  <c r="L3" i="20"/>
  <c r="K3" i="20"/>
  <c r="J3" i="20"/>
  <c r="I3" i="20"/>
  <c r="H3" i="20"/>
  <c r="G3" i="20"/>
  <c r="F3" i="20"/>
  <c r="E3" i="20"/>
  <c r="D3" i="20"/>
  <c r="C3" i="20"/>
  <c r="B3" i="20"/>
  <c r="A3" i="20"/>
  <c r="J3" i="12"/>
  <c r="I3" i="12"/>
  <c r="H3" i="12"/>
  <c r="G3" i="12"/>
  <c r="F3" i="12"/>
  <c r="E3" i="12"/>
  <c r="D3" i="12"/>
  <c r="C3" i="12"/>
  <c r="B3" i="12"/>
  <c r="A3" i="12"/>
  <c r="E3" i="31"/>
  <c r="D3" i="31"/>
  <c r="C3" i="31"/>
  <c r="B3" i="31"/>
  <c r="A3" i="31"/>
  <c r="M3" i="11"/>
  <c r="L3" i="11"/>
  <c r="K3" i="11"/>
  <c r="J3" i="11"/>
  <c r="I3" i="11"/>
  <c r="H3" i="11"/>
  <c r="G3" i="11"/>
  <c r="F3" i="11"/>
  <c r="E3" i="11"/>
  <c r="D3" i="11"/>
  <c r="C3" i="11"/>
  <c r="B3" i="11"/>
  <c r="A3" i="11"/>
  <c r="H3" i="10"/>
  <c r="G3" i="10"/>
  <c r="F3" i="10"/>
  <c r="E3" i="10"/>
  <c r="D3" i="10"/>
  <c r="C3" i="10"/>
  <c r="B3" i="10"/>
  <c r="A3" i="10"/>
  <c r="G3" i="9"/>
  <c r="F3" i="9"/>
  <c r="E3" i="9"/>
  <c r="D3" i="9"/>
  <c r="C3" i="9"/>
  <c r="B3" i="9"/>
  <c r="A3" i="9"/>
  <c r="K3" i="8"/>
  <c r="J3" i="8"/>
  <c r="I3" i="8"/>
  <c r="H3" i="8"/>
  <c r="G3" i="8"/>
  <c r="F3" i="8"/>
  <c r="E3" i="8"/>
  <c r="D3" i="8"/>
  <c r="C3" i="8"/>
  <c r="B3" i="8"/>
  <c r="A3" i="8"/>
  <c r="E3" i="7"/>
  <c r="D3" i="7"/>
  <c r="C3" i="7"/>
  <c r="B3" i="7"/>
  <c r="A3" i="7"/>
  <c r="L3" i="6"/>
  <c r="K3" i="6"/>
  <c r="J3" i="6"/>
  <c r="I3" i="6"/>
  <c r="H3" i="6"/>
  <c r="G3" i="6"/>
  <c r="F3" i="6"/>
  <c r="E3" i="6"/>
  <c r="D3" i="6"/>
  <c r="C3" i="6"/>
  <c r="B3" i="6"/>
  <c r="A3" i="6"/>
  <c r="I3" i="5"/>
  <c r="H3" i="5"/>
  <c r="G3" i="5"/>
  <c r="F3" i="5"/>
  <c r="E3" i="5"/>
  <c r="D3" i="5"/>
  <c r="C3" i="5"/>
  <c r="B3" i="5"/>
  <c r="A3" i="5"/>
  <c r="I19" i="6"/>
  <c r="G102" i="2" s="1"/>
  <c r="I21" i="6"/>
  <c r="G103" i="2" s="1"/>
  <c r="G185" i="2"/>
  <c r="L185" i="2" s="1"/>
  <c r="A14" i="31"/>
  <c r="A22" i="31" s="1"/>
  <c r="C60" i="13"/>
  <c r="K33" i="21"/>
  <c r="A22" i="21"/>
  <c r="A27" i="21" s="1"/>
  <c r="A33" i="21" s="1"/>
  <c r="D187" i="2" s="1"/>
  <c r="A6" i="21"/>
  <c r="M20" i="13"/>
  <c r="L26" i="20"/>
  <c r="N8" i="20"/>
  <c r="O8" i="20"/>
  <c r="C11" i="20"/>
  <c r="C14" i="20"/>
  <c r="C18" i="20"/>
  <c r="C26" i="20"/>
  <c r="C32" i="20"/>
  <c r="C42" i="20"/>
  <c r="C43" i="20"/>
  <c r="C53" i="20"/>
  <c r="C55" i="20"/>
  <c r="C58" i="20"/>
  <c r="C62" i="20"/>
  <c r="C65" i="20"/>
  <c r="C66" i="20"/>
  <c r="C68" i="20"/>
  <c r="C69" i="20"/>
  <c r="C71" i="20"/>
  <c r="N82" i="20"/>
  <c r="O82" i="20"/>
  <c r="P8" i="13"/>
  <c r="C11" i="13"/>
  <c r="C14" i="13"/>
  <c r="C18" i="13"/>
  <c r="C26" i="13"/>
  <c r="C32" i="13"/>
  <c r="C42" i="13"/>
  <c r="C43" i="13"/>
  <c r="C53" i="13"/>
  <c r="C55" i="13"/>
  <c r="C58" i="13"/>
  <c r="C62" i="13"/>
  <c r="C65" i="13"/>
  <c r="C66" i="13"/>
  <c r="C68" i="13"/>
  <c r="C69" i="13"/>
  <c r="C71" i="13"/>
  <c r="O81" i="13"/>
  <c r="P81" i="13"/>
  <c r="J13" i="8"/>
  <c r="A15" i="8"/>
  <c r="A17" i="8" s="1"/>
  <c r="J15" i="8"/>
  <c r="A27" i="8"/>
  <c r="A29" i="8" s="1"/>
  <c r="A31" i="8" s="1"/>
  <c r="E15" i="2" s="1"/>
  <c r="J17" i="8"/>
  <c r="J19" i="8"/>
  <c r="J29" i="8"/>
  <c r="A15" i="7"/>
  <c r="A17" i="7" s="1"/>
  <c r="A18" i="7" s="1"/>
  <c r="A19" i="7" s="1"/>
  <c r="A21" i="7" s="1"/>
  <c r="B23" i="7" s="1"/>
  <c r="A17" i="6"/>
  <c r="E101" i="2" s="1"/>
  <c r="A17" i="5"/>
  <c r="A18" i="5" s="1"/>
  <c r="A19" i="5" s="1"/>
  <c r="F51" i="2"/>
  <c r="F115" i="2" s="1"/>
  <c r="F194" i="2" s="1"/>
  <c r="F258" i="2" s="1"/>
  <c r="F52" i="2"/>
  <c r="F116" i="2" s="1"/>
  <c r="F195" i="2" s="1"/>
  <c r="F259" i="2" s="1"/>
  <c r="F55" i="2"/>
  <c r="F119" i="2" s="1"/>
  <c r="F198" i="2" s="1"/>
  <c r="F262" i="2" s="1"/>
  <c r="B61" i="2"/>
  <c r="B125" i="2" s="1"/>
  <c r="B62" i="2"/>
  <c r="B126" i="2" s="1"/>
  <c r="D71" i="2"/>
  <c r="D79" i="2" s="1"/>
  <c r="D73" i="2"/>
  <c r="D80" i="2" s="1"/>
  <c r="D75" i="2"/>
  <c r="D81" i="2" s="1"/>
  <c r="E123" i="2"/>
  <c r="L123" i="2"/>
  <c r="E124" i="2"/>
  <c r="G124" i="2"/>
  <c r="I124" i="2"/>
  <c r="L124" i="2"/>
  <c r="D154" i="2"/>
  <c r="B15" i="2"/>
  <c r="B17" i="2" s="1"/>
  <c r="B18" i="2" s="1"/>
  <c r="B24" i="2" s="1"/>
  <c r="B26" i="2" s="1"/>
  <c r="B27" i="2" s="1"/>
  <c r="E25" i="34"/>
  <c r="E14" i="34"/>
  <c r="E63" i="34" s="1"/>
  <c r="J12" i="34"/>
  <c r="C25" i="34"/>
  <c r="C198" i="34"/>
  <c r="L87" i="13"/>
  <c r="I42" i="6"/>
  <c r="K42" i="6" s="1"/>
  <c r="E42" i="6" s="1"/>
  <c r="J78" i="6"/>
  <c r="K78" i="6" s="1"/>
  <c r="I73" i="6"/>
  <c r="K73" i="6" s="1"/>
  <c r="I48" i="6"/>
  <c r="K48" i="6" s="1"/>
  <c r="E48" i="6" s="1"/>
  <c r="J77" i="6"/>
  <c r="K77" i="6" s="1"/>
  <c r="E77" i="6" s="1"/>
  <c r="E72" i="6"/>
  <c r="I41" i="6"/>
  <c r="K41" i="6" s="1"/>
  <c r="E41" i="6" s="1"/>
  <c r="J54" i="6"/>
  <c r="K54" i="6" s="1"/>
  <c r="J75" i="6"/>
  <c r="I43" i="6"/>
  <c r="K43" i="6" s="1"/>
  <c r="E43" i="6" s="1"/>
  <c r="I49" i="6"/>
  <c r="K49" i="6" s="1"/>
  <c r="E49" i="6" s="1"/>
  <c r="J52" i="6"/>
  <c r="I45" i="6"/>
  <c r="K45" i="6" s="1"/>
  <c r="E45" i="6" s="1"/>
  <c r="I46" i="6"/>
  <c r="K46" i="6" s="1"/>
  <c r="E46" i="6" s="1"/>
  <c r="I44" i="6"/>
  <c r="K44" i="6" s="1"/>
  <c r="E44" i="6" s="1"/>
  <c r="I47" i="6"/>
  <c r="K47" i="6" s="1"/>
  <c r="E47" i="6" s="1"/>
  <c r="C130" i="13"/>
  <c r="C131" i="13"/>
  <c r="C132" i="13"/>
  <c r="C133" i="13"/>
  <c r="C134" i="13"/>
  <c r="C135" i="13"/>
  <c r="C136" i="13"/>
  <c r="C137" i="13"/>
  <c r="C138" i="13"/>
  <c r="C139" i="13"/>
  <c r="C140" i="13"/>
  <c r="C141" i="13"/>
  <c r="C142" i="13"/>
  <c r="C143" i="13"/>
  <c r="C144" i="13"/>
  <c r="C145" i="13"/>
  <c r="C146" i="13"/>
  <c r="C147" i="13"/>
  <c r="C148" i="13"/>
  <c r="C149" i="13"/>
  <c r="C150" i="13"/>
  <c r="C151" i="13"/>
  <c r="C152" i="13"/>
  <c r="C153" i="13"/>
  <c r="C154" i="13"/>
  <c r="C155" i="13"/>
  <c r="C156" i="13"/>
  <c r="C157" i="13"/>
  <c r="C158" i="13"/>
  <c r="C159" i="13"/>
  <c r="J97" i="13"/>
  <c r="E100" i="13" s="1"/>
  <c r="I98" i="20"/>
  <c r="E101" i="20" s="1"/>
  <c r="M100" i="13"/>
  <c r="M101" i="13"/>
  <c r="O100" i="13"/>
  <c r="O101" i="13"/>
  <c r="N90" i="20"/>
  <c r="G51" i="5"/>
  <c r="I50" i="5"/>
  <c r="I49" i="5"/>
  <c r="C22" i="35"/>
  <c r="L216" i="2"/>
  <c r="I17" i="6"/>
  <c r="G101" i="2" s="1"/>
  <c r="H213" i="2"/>
  <c r="F217" i="2"/>
  <c r="G11" i="39"/>
  <c r="C64" i="38" l="1"/>
  <c r="G96" i="36"/>
  <c r="G85" i="36"/>
  <c r="F101" i="20"/>
  <c r="D102" i="20" s="1"/>
  <c r="E102" i="20" s="1"/>
  <c r="F102" i="20" s="1"/>
  <c r="D103" i="20" s="1"/>
  <c r="K197" i="36"/>
  <c r="G144" i="36"/>
  <c r="O26" i="20"/>
  <c r="L36" i="2" s="1"/>
  <c r="F100" i="13"/>
  <c r="G100" i="13" s="1"/>
  <c r="E64" i="2"/>
  <c r="E67" i="2"/>
  <c r="G61" i="36"/>
  <c r="G19" i="36"/>
  <c r="G35" i="36"/>
  <c r="G65" i="37"/>
  <c r="G166" i="34"/>
  <c r="I184" i="36"/>
  <c r="G76" i="36"/>
  <c r="G19" i="37"/>
  <c r="G194" i="36"/>
  <c r="G97" i="37"/>
  <c r="G101" i="37"/>
  <c r="F87" i="38"/>
  <c r="G97" i="2" s="1"/>
  <c r="G77" i="36"/>
  <c r="G30" i="36"/>
  <c r="G46" i="36"/>
  <c r="G68" i="36"/>
  <c r="G49" i="37"/>
  <c r="G93" i="36"/>
  <c r="G117" i="36"/>
  <c r="G133" i="36"/>
  <c r="G130" i="36"/>
  <c r="G53" i="37"/>
  <c r="G77" i="37"/>
  <c r="G85" i="37"/>
  <c r="G93" i="37"/>
  <c r="G31" i="36"/>
  <c r="G39" i="36"/>
  <c r="G87" i="37"/>
  <c r="G95" i="37"/>
  <c r="G54" i="36"/>
  <c r="G171" i="36"/>
  <c r="G17" i="37"/>
  <c r="G106" i="36"/>
  <c r="G125" i="36"/>
  <c r="G73" i="37"/>
  <c r="G30" i="37"/>
  <c r="D72" i="36"/>
  <c r="G78" i="36"/>
  <c r="A183" i="36"/>
  <c r="D35" i="5" s="1"/>
  <c r="G39" i="37"/>
  <c r="G74" i="37"/>
  <c r="L227" i="2"/>
  <c r="G234" i="2" s="1"/>
  <c r="J234" i="2" s="1"/>
  <c r="E22" i="20" s="1"/>
  <c r="G49" i="36"/>
  <c r="G65" i="36"/>
  <c r="G21" i="36"/>
  <c r="A81" i="13"/>
  <c r="J197" i="36"/>
  <c r="G143" i="36"/>
  <c r="F48" i="13"/>
  <c r="E23" i="36"/>
  <c r="G51" i="36"/>
  <c r="C197" i="36"/>
  <c r="J193" i="34"/>
  <c r="G27" i="37"/>
  <c r="I79" i="34"/>
  <c r="G80" i="36"/>
  <c r="G26" i="37"/>
  <c r="G61" i="37"/>
  <c r="G107" i="37"/>
  <c r="G79" i="36"/>
  <c r="G95" i="36"/>
  <c r="G103" i="36"/>
  <c r="G127" i="36"/>
  <c r="G135" i="36"/>
  <c r="G146" i="36"/>
  <c r="G154" i="36"/>
  <c r="G98" i="37"/>
  <c r="G25" i="37"/>
  <c r="G32" i="36"/>
  <c r="G40" i="36"/>
  <c r="G108" i="36"/>
  <c r="G116" i="36"/>
  <c r="G124" i="36"/>
  <c r="G132" i="36"/>
  <c r="G86" i="37"/>
  <c r="H188" i="34"/>
  <c r="H213" i="34" s="1"/>
  <c r="H216" i="34" s="1"/>
  <c r="G42" i="36"/>
  <c r="E71" i="36"/>
  <c r="G110" i="36"/>
  <c r="G126" i="36"/>
  <c r="G142" i="36"/>
  <c r="G153" i="36"/>
  <c r="G161" i="36"/>
  <c r="G173" i="36"/>
  <c r="G24" i="37"/>
  <c r="G59" i="37"/>
  <c r="G67" i="37"/>
  <c r="G28" i="36"/>
  <c r="G53" i="36"/>
  <c r="G100" i="36"/>
  <c r="G140" i="36"/>
  <c r="G36" i="37"/>
  <c r="G68" i="37"/>
  <c r="J110" i="37"/>
  <c r="G50" i="36"/>
  <c r="G63" i="36"/>
  <c r="G89" i="36"/>
  <c r="G97" i="36"/>
  <c r="G121" i="36"/>
  <c r="G129" i="36"/>
  <c r="G137" i="36"/>
  <c r="G148" i="36"/>
  <c r="G156" i="36"/>
  <c r="G164" i="36"/>
  <c r="G195" i="36"/>
  <c r="F79" i="34"/>
  <c r="D184" i="36"/>
  <c r="G83" i="36"/>
  <c r="G150" i="36"/>
  <c r="D109" i="37"/>
  <c r="G35" i="37"/>
  <c r="G51" i="37"/>
  <c r="G103" i="37"/>
  <c r="C79" i="34"/>
  <c r="K72" i="36"/>
  <c r="G44" i="36"/>
  <c r="G67" i="36"/>
  <c r="F53" i="34"/>
  <c r="F203" i="34" s="1"/>
  <c r="G31" i="6"/>
  <c r="G106" i="2" s="1"/>
  <c r="L106" i="2" s="1"/>
  <c r="F23" i="36"/>
  <c r="G160" i="36"/>
  <c r="G40" i="37"/>
  <c r="H52" i="34"/>
  <c r="H64" i="34" s="1"/>
  <c r="G29" i="37"/>
  <c r="G42" i="37"/>
  <c r="A82" i="20"/>
  <c r="G90" i="37"/>
  <c r="B23" i="40"/>
  <c r="G88" i="36"/>
  <c r="G104" i="36"/>
  <c r="G112" i="36"/>
  <c r="G115" i="36"/>
  <c r="G120" i="36"/>
  <c r="G128" i="36"/>
  <c r="G147" i="36"/>
  <c r="G170" i="36"/>
  <c r="G174" i="36"/>
  <c r="G21" i="37"/>
  <c r="G38" i="37"/>
  <c r="G41" i="37"/>
  <c r="G57" i="37"/>
  <c r="G81" i="37"/>
  <c r="G92" i="37"/>
  <c r="H166" i="34"/>
  <c r="O33" i="21"/>
  <c r="G187" i="2" s="1"/>
  <c r="J25" i="34"/>
  <c r="I53" i="34"/>
  <c r="I203" i="34" s="1"/>
  <c r="G53" i="34"/>
  <c r="G203" i="34" s="1"/>
  <c r="G29" i="36"/>
  <c r="G56" i="36"/>
  <c r="I177" i="36"/>
  <c r="I183" i="36" s="1"/>
  <c r="C71" i="36"/>
  <c r="H79" i="34"/>
  <c r="K71" i="36"/>
  <c r="C72" i="36"/>
  <c r="G87" i="36"/>
  <c r="G109" i="36"/>
  <c r="G152" i="36"/>
  <c r="G157" i="36"/>
  <c r="G165" i="36"/>
  <c r="G43" i="37"/>
  <c r="G48" i="37"/>
  <c r="G78" i="37"/>
  <c r="G83" i="37"/>
  <c r="G102" i="37"/>
  <c r="J194" i="34"/>
  <c r="C109" i="37"/>
  <c r="J177" i="36"/>
  <c r="J183" i="36" s="1"/>
  <c r="G84" i="36"/>
  <c r="G167" i="36"/>
  <c r="G57" i="36"/>
  <c r="E18" i="2"/>
  <c r="J101" i="34"/>
  <c r="J150" i="34" s="1"/>
  <c r="G33" i="36"/>
  <c r="J72" i="36"/>
  <c r="G36" i="36"/>
  <c r="G41" i="36"/>
  <c r="G47" i="36"/>
  <c r="G60" i="36"/>
  <c r="G86" i="36"/>
  <c r="G151" i="36"/>
  <c r="F177" i="36"/>
  <c r="F183" i="36" s="1"/>
  <c r="G28" i="37"/>
  <c r="G31" i="37"/>
  <c r="G47" i="37"/>
  <c r="G96" i="37"/>
  <c r="E28" i="2"/>
  <c r="D30" i="2"/>
  <c r="B28" i="2"/>
  <c r="B30" i="2" s="1"/>
  <c r="B31" i="2" s="1"/>
  <c r="D33" i="2" s="1"/>
  <c r="E229" i="2"/>
  <c r="E228" i="2"/>
  <c r="E226" i="2"/>
  <c r="E227" i="2"/>
  <c r="A16" i="34"/>
  <c r="B13" i="34" s="1"/>
  <c r="B63" i="34"/>
  <c r="E95" i="2"/>
  <c r="A84" i="38"/>
  <c r="A87" i="38" s="1"/>
  <c r="J31" i="34"/>
  <c r="J137" i="34"/>
  <c r="G172" i="36"/>
  <c r="G17" i="36"/>
  <c r="E61" i="11"/>
  <c r="E63" i="11" s="1"/>
  <c r="E65" i="11" s="1"/>
  <c r="J197" i="34"/>
  <c r="G101" i="36"/>
  <c r="G52" i="37"/>
  <c r="G66" i="37"/>
  <c r="G69" i="37"/>
  <c r="J37" i="34"/>
  <c r="J136" i="34"/>
  <c r="G90" i="36"/>
  <c r="G122" i="36"/>
  <c r="G163" i="36"/>
  <c r="G169" i="36"/>
  <c r="G22" i="37"/>
  <c r="G60" i="37"/>
  <c r="G71" i="37"/>
  <c r="G79" i="37"/>
  <c r="G82" i="37"/>
  <c r="G100" i="37"/>
  <c r="G104" i="37"/>
  <c r="D177" i="36"/>
  <c r="D183" i="36" s="1"/>
  <c r="I52" i="34"/>
  <c r="G52" i="34"/>
  <c r="G57" i="34" s="1"/>
  <c r="G60" i="34" s="1"/>
  <c r="G65" i="34" s="1"/>
  <c r="E133" i="2"/>
  <c r="J198" i="34"/>
  <c r="D71" i="36"/>
  <c r="G81" i="36"/>
  <c r="K109" i="37"/>
  <c r="G37" i="37"/>
  <c r="G76" i="37"/>
  <c r="E177" i="36"/>
  <c r="E183" i="36" s="1"/>
  <c r="G105" i="36"/>
  <c r="D197" i="36"/>
  <c r="G79" i="34"/>
  <c r="K184" i="36"/>
  <c r="G134" i="36"/>
  <c r="G159" i="36"/>
  <c r="G50" i="37"/>
  <c r="G75" i="37"/>
  <c r="C110" i="37"/>
  <c r="G34" i="36"/>
  <c r="J14" i="34"/>
  <c r="J63" i="34" s="1"/>
  <c r="C166" i="34"/>
  <c r="G37" i="36"/>
  <c r="G62" i="36"/>
  <c r="G91" i="36"/>
  <c r="G107" i="36"/>
  <c r="G139" i="36"/>
  <c r="I197" i="36"/>
  <c r="G44" i="37"/>
  <c r="G55" i="37"/>
  <c r="I110" i="37"/>
  <c r="J55" i="6"/>
  <c r="J29" i="6" s="1"/>
  <c r="K52" i="6"/>
  <c r="G131" i="34"/>
  <c r="J131" i="34" s="1"/>
  <c r="J130" i="34"/>
  <c r="A19" i="6"/>
  <c r="G20" i="37"/>
  <c r="F166" i="34"/>
  <c r="F125" i="34"/>
  <c r="F140" i="34" s="1"/>
  <c r="F139" i="34"/>
  <c r="E50" i="34"/>
  <c r="E53" i="34" s="1"/>
  <c r="E203" i="34" s="1"/>
  <c r="E52" i="34"/>
  <c r="C50" i="34"/>
  <c r="C53" i="34" s="1"/>
  <c r="J49" i="34"/>
  <c r="C52" i="34"/>
  <c r="C57" i="34" s="1"/>
  <c r="C60" i="34" s="1"/>
  <c r="C65" i="34" s="1"/>
  <c r="I109" i="37"/>
  <c r="J109" i="37"/>
  <c r="E163" i="2"/>
  <c r="A23" i="31"/>
  <c r="I166" i="34"/>
  <c r="E125" i="34"/>
  <c r="E140" i="34" s="1"/>
  <c r="E139" i="34"/>
  <c r="J124" i="34"/>
  <c r="F188" i="34"/>
  <c r="F213" i="34" s="1"/>
  <c r="F216" i="34" s="1"/>
  <c r="F218" i="34" s="1"/>
  <c r="J44" i="34"/>
  <c r="F80" i="38"/>
  <c r="G95" i="2" s="1"/>
  <c r="L95" i="2" s="1"/>
  <c r="I125" i="34"/>
  <c r="I139" i="34"/>
  <c r="K75" i="6"/>
  <c r="E75" i="6" s="1"/>
  <c r="J79" i="6"/>
  <c r="J30" i="6" s="1"/>
  <c r="G139" i="34"/>
  <c r="G119" i="34"/>
  <c r="F71" i="36"/>
  <c r="G66" i="36"/>
  <c r="K177" i="36"/>
  <c r="K183" i="36" s="1"/>
  <c r="J118" i="34"/>
  <c r="C177" i="36"/>
  <c r="C183" i="36" s="1"/>
  <c r="A29" i="39"/>
  <c r="A30" i="39" s="1"/>
  <c r="A31" i="39" s="1"/>
  <c r="A32" i="39" s="1"/>
  <c r="A33" i="39" s="1"/>
  <c r="A34" i="39" s="1"/>
  <c r="A35" i="39" s="1"/>
  <c r="A36" i="39" s="1"/>
  <c r="A37" i="39" s="1"/>
  <c r="A38" i="39" s="1"/>
  <c r="A39" i="39" s="1"/>
  <c r="A40" i="39" s="1"/>
  <c r="A41" i="39" s="1"/>
  <c r="A42" i="39" s="1"/>
  <c r="A48" i="39" s="1"/>
  <c r="A49" i="39" s="1"/>
  <c r="F52" i="34"/>
  <c r="C119" i="34"/>
  <c r="C140" i="34" s="1"/>
  <c r="E65" i="2"/>
  <c r="A23" i="7"/>
  <c r="E110" i="2" s="1"/>
  <c r="E93" i="2"/>
  <c r="I188" i="34"/>
  <c r="I213" i="34" s="1"/>
  <c r="I216" i="34" s="1"/>
  <c r="J183" i="34"/>
  <c r="J188" i="34" s="1"/>
  <c r="J213" i="34" s="1"/>
  <c r="C188" i="34"/>
  <c r="C213" i="34" s="1"/>
  <c r="C216" i="34" s="1"/>
  <c r="C218" i="34" s="1"/>
  <c r="I199" i="34"/>
  <c r="G99" i="36"/>
  <c r="G181" i="36"/>
  <c r="G46" i="37"/>
  <c r="G106" i="37"/>
  <c r="G48" i="36"/>
  <c r="G58" i="37"/>
  <c r="B74" i="39"/>
  <c r="J43" i="34"/>
  <c r="C139" i="34"/>
  <c r="E109" i="37"/>
  <c r="E66" i="2"/>
  <c r="G55" i="36"/>
  <c r="G58" i="36"/>
  <c r="G82" i="36"/>
  <c r="G113" i="36"/>
  <c r="G33" i="37"/>
  <c r="G63" i="37"/>
  <c r="G70" i="37"/>
  <c r="D110" i="37"/>
  <c r="G88" i="37"/>
  <c r="G99" i="37"/>
  <c r="E166" i="34"/>
  <c r="J196" i="34"/>
  <c r="H199" i="34"/>
  <c r="J71" i="36"/>
  <c r="I72" i="36"/>
  <c r="G45" i="36"/>
  <c r="G52" i="36"/>
  <c r="G59" i="36"/>
  <c r="J184" i="36"/>
  <c r="G111" i="36"/>
  <c r="G34" i="37"/>
  <c r="G56" i="37"/>
  <c r="G64" i="37"/>
  <c r="G80" i="37"/>
  <c r="E79" i="34"/>
  <c r="G199" i="34"/>
  <c r="E199" i="34"/>
  <c r="H53" i="34"/>
  <c r="H203" i="34" s="1"/>
  <c r="G64" i="36"/>
  <c r="G94" i="36"/>
  <c r="G98" i="36"/>
  <c r="G102" i="36"/>
  <c r="C184" i="36"/>
  <c r="G118" i="36"/>
  <c r="G119" i="36"/>
  <c r="G123" i="36"/>
  <c r="G131" i="36"/>
  <c r="G138" i="36"/>
  <c r="G141" i="36"/>
  <c r="G158" i="36"/>
  <c r="G166" i="36"/>
  <c r="G180" i="36"/>
  <c r="G23" i="37"/>
  <c r="G45" i="37"/>
  <c r="G54" i="37"/>
  <c r="G62" i="37"/>
  <c r="G72" i="37"/>
  <c r="K110" i="37"/>
  <c r="G84" i="37"/>
  <c r="P140" i="13"/>
  <c r="P130" i="13"/>
  <c r="H214" i="2"/>
  <c r="H217" i="2" s="1"/>
  <c r="P110" i="13"/>
  <c r="H33" i="39"/>
  <c r="H37" i="39"/>
  <c r="G217" i="2"/>
  <c r="P115" i="13"/>
  <c r="P129" i="13"/>
  <c r="M89" i="13"/>
  <c r="N22" i="13" s="1"/>
  <c r="M88" i="13"/>
  <c r="N21" i="13" s="1"/>
  <c r="N89" i="13"/>
  <c r="O22" i="13" s="1"/>
  <c r="N88" i="13"/>
  <c r="I53" i="11"/>
  <c r="I55" i="11" s="1"/>
  <c r="I61" i="11"/>
  <c r="I63" i="11" s="1"/>
  <c r="I65" i="11" s="1"/>
  <c r="C32" i="35"/>
  <c r="C24" i="35"/>
  <c r="C31" i="35"/>
  <c r="C23" i="35"/>
  <c r="C30" i="35"/>
  <c r="C28" i="35"/>
  <c r="C27" i="35"/>
  <c r="C29" i="35"/>
  <c r="C33" i="40"/>
  <c r="A33" i="40"/>
  <c r="E146" i="2" s="1"/>
  <c r="A20" i="5"/>
  <c r="D20" i="5"/>
  <c r="E72" i="2"/>
  <c r="E74" i="2"/>
  <c r="E75" i="2"/>
  <c r="E71" i="2"/>
  <c r="A49" i="38"/>
  <c r="A50" i="38" s="1"/>
  <c r="A51" i="38" s="1"/>
  <c r="A52" i="38" s="1"/>
  <c r="A53" i="38" s="1"/>
  <c r="A54" i="38" s="1"/>
  <c r="A55" i="38" s="1"/>
  <c r="A56" i="38" s="1"/>
  <c r="A57" i="38" s="1"/>
  <c r="A58" i="38" s="1"/>
  <c r="A59" i="38" s="1"/>
  <c r="A60" i="38" s="1"/>
  <c r="A61" i="38" s="1"/>
  <c r="A62" i="38" s="1"/>
  <c r="E73" i="2"/>
  <c r="J32" i="34"/>
  <c r="C25" i="35"/>
  <c r="C26" i="35"/>
  <c r="I51" i="5"/>
  <c r="G90" i="2" s="1"/>
  <c r="E131" i="2"/>
  <c r="A36" i="9"/>
  <c r="A37" i="9" s="1"/>
  <c r="A38" i="9" s="1"/>
  <c r="A39" i="9" s="1"/>
  <c r="A40" i="9" s="1"/>
  <c r="A41" i="9" s="1"/>
  <c r="A44" i="9" s="1"/>
  <c r="J38" i="34"/>
  <c r="E161" i="2"/>
  <c r="A48" i="11"/>
  <c r="E165" i="2"/>
  <c r="J195" i="34"/>
  <c r="C199" i="34"/>
  <c r="H119" i="34"/>
  <c r="H139" i="34"/>
  <c r="J112" i="34"/>
  <c r="F29" i="10"/>
  <c r="F342" i="2" s="1"/>
  <c r="G169" i="2" s="1"/>
  <c r="G173" i="2" s="1"/>
  <c r="G179" i="2" s="1"/>
  <c r="C30" i="40"/>
  <c r="E150" i="34"/>
  <c r="G188" i="34"/>
  <c r="G213" i="34" s="1"/>
  <c r="F199" i="34"/>
  <c r="E188" i="34"/>
  <c r="E213" i="34" s="1"/>
  <c r="P108" i="13"/>
  <c r="P148" i="13"/>
  <c r="G20" i="36"/>
  <c r="G43" i="36"/>
  <c r="G92" i="36"/>
  <c r="G114" i="36"/>
  <c r="G136" i="36"/>
  <c r="E55" i="39"/>
  <c r="L223" i="2" s="1"/>
  <c r="I71" i="36"/>
  <c r="G38" i="36"/>
  <c r="S27" i="21"/>
  <c r="G18" i="37"/>
  <c r="G91" i="37"/>
  <c r="G94" i="37"/>
  <c r="F109" i="37"/>
  <c r="G105" i="37"/>
  <c r="D30" i="40"/>
  <c r="D33" i="40" s="1"/>
  <c r="G146" i="2" s="1"/>
  <c r="G145" i="36"/>
  <c r="G149" i="36"/>
  <c r="G155" i="36"/>
  <c r="G162" i="36"/>
  <c r="G168" i="36"/>
  <c r="G32" i="37"/>
  <c r="G89" i="37"/>
  <c r="H31" i="39"/>
  <c r="H35" i="39"/>
  <c r="H39" i="39"/>
  <c r="S17" i="21"/>
  <c r="S22" i="21"/>
  <c r="P116" i="13"/>
  <c r="P118" i="13"/>
  <c r="P122" i="13"/>
  <c r="P124" i="13"/>
  <c r="P146" i="13"/>
  <c r="P149" i="13"/>
  <c r="P151" i="13"/>
  <c r="P153" i="13"/>
  <c r="P155" i="13"/>
  <c r="P117" i="13"/>
  <c r="P119" i="13"/>
  <c r="P121" i="13"/>
  <c r="P141" i="13"/>
  <c r="P145" i="13"/>
  <c r="P147" i="13"/>
  <c r="H36" i="39"/>
  <c r="I10" i="35"/>
  <c r="J54" i="35" s="1"/>
  <c r="I10" i="41"/>
  <c r="J54" i="41" s="1"/>
  <c r="I26" i="5"/>
  <c r="I33" i="5"/>
  <c r="G88" i="2" s="1"/>
  <c r="I35" i="5"/>
  <c r="P103" i="13"/>
  <c r="P105" i="13"/>
  <c r="P111" i="13"/>
  <c r="P113" i="13"/>
  <c r="P142" i="13"/>
  <c r="P156" i="13"/>
  <c r="P158" i="13"/>
  <c r="G157" i="2"/>
  <c r="P125" i="13"/>
  <c r="P133" i="13"/>
  <c r="P135" i="13"/>
  <c r="P150" i="13"/>
  <c r="P101" i="13"/>
  <c r="P128" i="13"/>
  <c r="P132" i="13"/>
  <c r="P138" i="13"/>
  <c r="H32" i="39"/>
  <c r="P100" i="13"/>
  <c r="P107" i="13"/>
  <c r="P109" i="13"/>
  <c r="P123" i="13"/>
  <c r="P126" i="13"/>
  <c r="P134" i="13"/>
  <c r="P144" i="13"/>
  <c r="P157" i="13"/>
  <c r="P159" i="13"/>
  <c r="H41" i="39"/>
  <c r="G63" i="2"/>
  <c r="L204" i="2" s="1"/>
  <c r="G67" i="2"/>
  <c r="G75" i="2"/>
  <c r="G73" i="2"/>
  <c r="H38" i="39"/>
  <c r="P102" i="13"/>
  <c r="P104" i="13"/>
  <c r="P106" i="13"/>
  <c r="P112" i="13"/>
  <c r="P114" i="13"/>
  <c r="P120" i="13"/>
  <c r="P127" i="13"/>
  <c r="P137" i="13"/>
  <c r="P139" i="13"/>
  <c r="P143" i="13"/>
  <c r="P152" i="13"/>
  <c r="P154" i="13"/>
  <c r="H40" i="39"/>
  <c r="I42" i="5"/>
  <c r="H29" i="39"/>
  <c r="H30" i="39"/>
  <c r="G28" i="5"/>
  <c r="H34" i="39"/>
  <c r="P136" i="13"/>
  <c r="L226" i="2"/>
  <c r="G10" i="39"/>
  <c r="G23" i="39" s="1"/>
  <c r="I34" i="5"/>
  <c r="I41" i="5"/>
  <c r="P131" i="13"/>
  <c r="G65" i="2"/>
  <c r="G80" i="34" l="1"/>
  <c r="D101" i="13"/>
  <c r="E101" i="13" s="1"/>
  <c r="F101" i="13" s="1"/>
  <c r="D102" i="13" s="1"/>
  <c r="G184" i="36"/>
  <c r="L230" i="2"/>
  <c r="G235" i="2" s="1"/>
  <c r="G202" i="34"/>
  <c r="G230" i="34" s="1"/>
  <c r="A184" i="36"/>
  <c r="A186" i="36" s="1"/>
  <c r="A188" i="36" s="1"/>
  <c r="A190" i="36" s="1"/>
  <c r="A192" i="36" s="1"/>
  <c r="A193" i="36" s="1"/>
  <c r="A194" i="36" s="1"/>
  <c r="A195" i="36" s="1"/>
  <c r="A196" i="36" s="1"/>
  <c r="A197" i="36" s="1"/>
  <c r="D52" i="5" s="1"/>
  <c r="G140" i="34"/>
  <c r="G197" i="36"/>
  <c r="G110" i="37"/>
  <c r="E22" i="13"/>
  <c r="H80" i="34"/>
  <c r="H57" i="34"/>
  <c r="H60" i="34" s="1"/>
  <c r="H65" i="34" s="1"/>
  <c r="H66" i="34" s="1"/>
  <c r="H68" i="34" s="1"/>
  <c r="H84" i="34" s="1"/>
  <c r="H87" i="34" s="1"/>
  <c r="G72" i="36"/>
  <c r="G23" i="36"/>
  <c r="H218" i="34"/>
  <c r="G64" i="34"/>
  <c r="G66" i="34" s="1"/>
  <c r="G69" i="34" s="1"/>
  <c r="F229" i="34"/>
  <c r="F234" i="34" s="1"/>
  <c r="F237" i="34" s="1"/>
  <c r="C80" i="34"/>
  <c r="H229" i="34"/>
  <c r="I229" i="34"/>
  <c r="J166" i="34"/>
  <c r="J125" i="34"/>
  <c r="G71" i="36"/>
  <c r="E229" i="34"/>
  <c r="C64" i="34"/>
  <c r="C66" i="34" s="1"/>
  <c r="C202" i="34"/>
  <c r="C214" i="34" s="1"/>
  <c r="C219" i="34" s="1"/>
  <c r="A19" i="34"/>
  <c r="A20" i="34" s="1"/>
  <c r="A21" i="34" s="1"/>
  <c r="A22" i="34" s="1"/>
  <c r="A23" i="34" s="1"/>
  <c r="A24" i="34" s="1"/>
  <c r="A25" i="34" s="1"/>
  <c r="B79" i="34" s="1"/>
  <c r="J52" i="34"/>
  <c r="J80" i="34" s="1"/>
  <c r="J79" i="34"/>
  <c r="J199" i="34"/>
  <c r="L242" i="2" s="1"/>
  <c r="B33" i="2"/>
  <c r="B34" i="2" s="1"/>
  <c r="B36" i="2" s="1"/>
  <c r="B39" i="2" s="1"/>
  <c r="B41" i="2" s="1"/>
  <c r="J31" i="6"/>
  <c r="G104" i="2" s="1"/>
  <c r="I57" i="34"/>
  <c r="I60" i="34" s="1"/>
  <c r="I65" i="34" s="1"/>
  <c r="I80" i="34"/>
  <c r="I64" i="34"/>
  <c r="G177" i="36"/>
  <c r="G183" i="36" s="1"/>
  <c r="C70" i="20"/>
  <c r="C70" i="13"/>
  <c r="G109" i="37"/>
  <c r="C229" i="34"/>
  <c r="C234" i="34" s="1"/>
  <c r="C237" i="34" s="1"/>
  <c r="E144" i="34"/>
  <c r="E147" i="34" s="1"/>
  <c r="E152" i="34" s="1"/>
  <c r="E167" i="34"/>
  <c r="E151" i="34"/>
  <c r="A21" i="6"/>
  <c r="E102" i="2"/>
  <c r="F151" i="34"/>
  <c r="F167" i="34"/>
  <c r="F144" i="34"/>
  <c r="F147" i="34" s="1"/>
  <c r="F152" i="34" s="1"/>
  <c r="E52" i="6"/>
  <c r="A30" i="31"/>
  <c r="A37" i="31" s="1"/>
  <c r="A40" i="31" s="1"/>
  <c r="A49" i="31" s="1"/>
  <c r="A50" i="31" s="1"/>
  <c r="A52" i="31" s="1"/>
  <c r="A54" i="31" s="1"/>
  <c r="A58" i="31" s="1"/>
  <c r="A59" i="31" s="1"/>
  <c r="A61" i="31" s="1"/>
  <c r="A62" i="31" s="1"/>
  <c r="A65" i="31" s="1"/>
  <c r="A69" i="31" s="1"/>
  <c r="A81" i="31" s="1"/>
  <c r="A86" i="31" s="1"/>
  <c r="A89" i="31" s="1"/>
  <c r="A95" i="31" s="1"/>
  <c r="A98" i="31" s="1"/>
  <c r="A101" i="31" s="1"/>
  <c r="E64" i="34"/>
  <c r="E80" i="34"/>
  <c r="E202" i="34"/>
  <c r="E57" i="34"/>
  <c r="I218" i="34"/>
  <c r="I140" i="34"/>
  <c r="C144" i="34"/>
  <c r="C147" i="34" s="1"/>
  <c r="C152" i="34" s="1"/>
  <c r="C151" i="34"/>
  <c r="C167" i="34"/>
  <c r="F64" i="34"/>
  <c r="F80" i="34"/>
  <c r="F57" i="34"/>
  <c r="F60" i="34" s="1"/>
  <c r="F65" i="34" s="1"/>
  <c r="F202" i="34"/>
  <c r="G144" i="34"/>
  <c r="G147" i="34" s="1"/>
  <c r="G152" i="34" s="1"/>
  <c r="G151" i="34"/>
  <c r="G167" i="34"/>
  <c r="I144" i="34"/>
  <c r="I147" i="34" s="1"/>
  <c r="I152" i="34" s="1"/>
  <c r="I202" i="34"/>
  <c r="I167" i="34"/>
  <c r="I151" i="34"/>
  <c r="J50" i="34"/>
  <c r="G80" i="2"/>
  <c r="K48" i="11" s="1"/>
  <c r="K51" i="11" s="1"/>
  <c r="K53" i="11" s="1"/>
  <c r="K55" i="11" s="1"/>
  <c r="O89" i="13"/>
  <c r="S33" i="21"/>
  <c r="L187" i="2" s="1"/>
  <c r="N90" i="13"/>
  <c r="M90" i="13"/>
  <c r="N23" i="13"/>
  <c r="O88" i="13"/>
  <c r="G229" i="34"/>
  <c r="C203" i="34"/>
  <c r="J53" i="34"/>
  <c r="J203" i="34" s="1"/>
  <c r="L243" i="2" s="1"/>
  <c r="J253" i="2" s="1"/>
  <c r="D206" i="2"/>
  <c r="D205" i="2"/>
  <c r="G216" i="34"/>
  <c r="H167" i="34"/>
  <c r="H151" i="34"/>
  <c r="J139" i="34"/>
  <c r="H144" i="34"/>
  <c r="H202" i="34"/>
  <c r="A50" i="11"/>
  <c r="A51" i="11" s="1"/>
  <c r="C61" i="11" s="1"/>
  <c r="E143" i="2"/>
  <c r="A47" i="9"/>
  <c r="A48" i="9" s="1"/>
  <c r="A49" i="9" s="1"/>
  <c r="A50" i="9" s="1"/>
  <c r="A51" i="9" s="1"/>
  <c r="A52" i="9" s="1"/>
  <c r="A53" i="9" s="1"/>
  <c r="A54" i="9" s="1"/>
  <c r="A55" i="9" s="1"/>
  <c r="A56" i="9" s="1"/>
  <c r="A57" i="9" s="1"/>
  <c r="A58" i="9" s="1"/>
  <c r="A59" i="9" s="1"/>
  <c r="A60" i="9" s="1"/>
  <c r="A61" i="9" s="1"/>
  <c r="A62" i="9" s="1"/>
  <c r="A64" i="9" s="1"/>
  <c r="O21" i="13"/>
  <c r="P21" i="13" s="1"/>
  <c r="E216" i="34"/>
  <c r="E218" i="34" s="1"/>
  <c r="J216" i="34"/>
  <c r="H255" i="2" s="1"/>
  <c r="G178" i="2"/>
  <c r="G180" i="2"/>
  <c r="J119" i="34"/>
  <c r="H140" i="34"/>
  <c r="A50" i="39"/>
  <c r="A51" i="39" s="1"/>
  <c r="A52" i="39" s="1"/>
  <c r="A53" i="39" s="1"/>
  <c r="A54" i="39" s="1"/>
  <c r="A55" i="39" s="1"/>
  <c r="E86" i="2"/>
  <c r="A23" i="5"/>
  <c r="A25" i="5" s="1"/>
  <c r="E21" i="41"/>
  <c r="E22" i="41" s="1"/>
  <c r="E23" i="41" s="1"/>
  <c r="E24" i="41" s="1"/>
  <c r="E25" i="41" s="1"/>
  <c r="E26" i="41" s="1"/>
  <c r="E27" i="41" s="1"/>
  <c r="E28" i="41" s="1"/>
  <c r="E29" i="41" s="1"/>
  <c r="E30" i="41" s="1"/>
  <c r="E31" i="41" s="1"/>
  <c r="E32" i="41" s="1"/>
  <c r="G81" i="2"/>
  <c r="E21" i="35"/>
  <c r="E22" i="35" s="1"/>
  <c r="E23" i="35" s="1"/>
  <c r="E24" i="35" s="1"/>
  <c r="E25" i="35" s="1"/>
  <c r="E26" i="35" s="1"/>
  <c r="E27" i="35" s="1"/>
  <c r="E28" i="35" s="1"/>
  <c r="E29" i="35" s="1"/>
  <c r="E30" i="35" s="1"/>
  <c r="E31" i="35" s="1"/>
  <c r="E32" i="35" s="1"/>
  <c r="I36" i="5"/>
  <c r="L88" i="2" s="1"/>
  <c r="P22" i="13"/>
  <c r="I44" i="5"/>
  <c r="L89" i="2" s="1"/>
  <c r="G89" i="2"/>
  <c r="E103" i="20"/>
  <c r="F103" i="20" s="1"/>
  <c r="D104" i="20" s="1"/>
  <c r="G68" i="2"/>
  <c r="H42" i="39"/>
  <c r="L207" i="2"/>
  <c r="L63" i="2" s="1"/>
  <c r="G71" i="2"/>
  <c r="L71" i="2"/>
  <c r="G85" i="34" l="1"/>
  <c r="G101" i="13"/>
  <c r="G207" i="34"/>
  <c r="G210" i="34" s="1"/>
  <c r="G215" i="34" s="1"/>
  <c r="G220" i="34" s="1"/>
  <c r="G236" i="34" s="1"/>
  <c r="G214" i="34"/>
  <c r="G219" i="34" s="1"/>
  <c r="G235" i="34" s="1"/>
  <c r="D34" i="5"/>
  <c r="H70" i="34"/>
  <c r="H86" i="34" s="1"/>
  <c r="H234" i="34"/>
  <c r="H237" i="34" s="1"/>
  <c r="G68" i="34"/>
  <c r="G84" i="34" s="1"/>
  <c r="G87" i="34" s="1"/>
  <c r="G70" i="34"/>
  <c r="G86" i="34" s="1"/>
  <c r="J229" i="34"/>
  <c r="C230" i="34"/>
  <c r="C235" i="34" s="1"/>
  <c r="H69" i="34"/>
  <c r="H85" i="34" s="1"/>
  <c r="A28" i="34"/>
  <c r="A29" i="34" s="1"/>
  <c r="B21" i="2"/>
  <c r="E234" i="34"/>
  <c r="E237" i="34" s="1"/>
  <c r="J64" i="34"/>
  <c r="E153" i="34"/>
  <c r="E155" i="34" s="1"/>
  <c r="E171" i="34" s="1"/>
  <c r="E174" i="34" s="1"/>
  <c r="J202" i="34"/>
  <c r="J214" i="34" s="1"/>
  <c r="J219" i="34" s="1"/>
  <c r="I234" i="34"/>
  <c r="I237" i="34" s="1"/>
  <c r="C207" i="34"/>
  <c r="C210" i="34" s="1"/>
  <c r="C215" i="34" s="1"/>
  <c r="C220" i="34" s="1"/>
  <c r="C236" i="34" s="1"/>
  <c r="F66" i="34"/>
  <c r="F68" i="34" s="1"/>
  <c r="F84" i="34" s="1"/>
  <c r="F87" i="34" s="1"/>
  <c r="J140" i="34"/>
  <c r="B55" i="39"/>
  <c r="J218" i="34"/>
  <c r="I153" i="34"/>
  <c r="C22" i="31"/>
  <c r="I66" i="34"/>
  <c r="I68" i="34" s="1"/>
  <c r="I84" i="34" s="1"/>
  <c r="I87" i="34" s="1"/>
  <c r="G153" i="34"/>
  <c r="G155" i="34" s="1"/>
  <c r="G171" i="34" s="1"/>
  <c r="G174" i="34" s="1"/>
  <c r="A27" i="6"/>
  <c r="A29" i="6" s="1"/>
  <c r="A30" i="6" s="1"/>
  <c r="A31" i="6" s="1"/>
  <c r="E103" i="2"/>
  <c r="C51" i="11"/>
  <c r="F230" i="34"/>
  <c r="F214" i="34"/>
  <c r="F219" i="34" s="1"/>
  <c r="F207" i="34"/>
  <c r="F210" i="34" s="1"/>
  <c r="F215" i="34" s="1"/>
  <c r="F220" i="34" s="1"/>
  <c r="F236" i="34" s="1"/>
  <c r="E230" i="34"/>
  <c r="E207" i="34"/>
  <c r="E210" i="34" s="1"/>
  <c r="E215" i="34" s="1"/>
  <c r="E220" i="34" s="1"/>
  <c r="E236" i="34" s="1"/>
  <c r="E214" i="34"/>
  <c r="E219" i="34" s="1"/>
  <c r="I230" i="34"/>
  <c r="I214" i="34"/>
  <c r="I219" i="34" s="1"/>
  <c r="I207" i="34"/>
  <c r="I210" i="34" s="1"/>
  <c r="I215" i="34" s="1"/>
  <c r="I220" i="34" s="1"/>
  <c r="I236" i="34" s="1"/>
  <c r="F153" i="34"/>
  <c r="F155" i="34" s="1"/>
  <c r="F171" i="34" s="1"/>
  <c r="F174" i="34" s="1"/>
  <c r="C153" i="34"/>
  <c r="C155" i="34" s="1"/>
  <c r="C171" i="34" s="1"/>
  <c r="C174" i="34" s="1"/>
  <c r="E60" i="34"/>
  <c r="E65" i="34" s="1"/>
  <c r="J57" i="34"/>
  <c r="J60" i="34" s="1"/>
  <c r="J65" i="34" s="1"/>
  <c r="O90" i="13"/>
  <c r="I17" i="5"/>
  <c r="E20" i="5"/>
  <c r="G20" i="5"/>
  <c r="I19" i="5"/>
  <c r="O23" i="13"/>
  <c r="H230" i="34"/>
  <c r="H214" i="34"/>
  <c r="H219" i="34" s="1"/>
  <c r="H207" i="34"/>
  <c r="H210" i="34" s="1"/>
  <c r="H215" i="34" s="1"/>
  <c r="H220" i="34" s="1"/>
  <c r="H236" i="34" s="1"/>
  <c r="A52" i="11"/>
  <c r="A53" i="11" s="1"/>
  <c r="H147" i="34"/>
  <c r="H152" i="34" s="1"/>
  <c r="H153" i="34" s="1"/>
  <c r="H155" i="34" s="1"/>
  <c r="H171" i="34" s="1"/>
  <c r="H174" i="34" s="1"/>
  <c r="J144" i="34"/>
  <c r="J147" i="34" s="1"/>
  <c r="J152" i="34" s="1"/>
  <c r="B42" i="2"/>
  <c r="C68" i="34"/>
  <c r="C84" i="34" s="1"/>
  <c r="C87" i="34" s="1"/>
  <c r="C70" i="34"/>
  <c r="C86" i="34" s="1"/>
  <c r="A67" i="9"/>
  <c r="A68" i="9" s="1"/>
  <c r="A69" i="9" s="1"/>
  <c r="A70" i="9" s="1"/>
  <c r="A72" i="9" s="1"/>
  <c r="E145" i="2" s="1"/>
  <c r="E144" i="2"/>
  <c r="E223" i="2"/>
  <c r="B57" i="39"/>
  <c r="A57" i="39"/>
  <c r="J151" i="34"/>
  <c r="J167" i="34"/>
  <c r="G218" i="34"/>
  <c r="G234" i="34" s="1"/>
  <c r="G237" i="34" s="1"/>
  <c r="C69" i="34"/>
  <c r="C85" i="34" s="1"/>
  <c r="A26" i="5"/>
  <c r="A27" i="5" s="1"/>
  <c r="A28" i="5" s="1"/>
  <c r="A31" i="5" s="1"/>
  <c r="A33" i="5" s="1"/>
  <c r="I21" i="41"/>
  <c r="L21" i="41" s="1"/>
  <c r="I22" i="41"/>
  <c r="L22" i="41" s="1"/>
  <c r="I22" i="35"/>
  <c r="L22" i="35" s="1"/>
  <c r="I21" i="35"/>
  <c r="L21" i="35" s="1"/>
  <c r="E57" i="11"/>
  <c r="I57" i="11"/>
  <c r="I58" i="11" s="1"/>
  <c r="I59" i="11" s="1"/>
  <c r="K57" i="11"/>
  <c r="K58" i="11" s="1"/>
  <c r="G57" i="11"/>
  <c r="I23" i="41"/>
  <c r="L23" i="41" s="1"/>
  <c r="I23" i="35"/>
  <c r="E102" i="13"/>
  <c r="G233" i="2"/>
  <c r="E57" i="39"/>
  <c r="H75" i="13"/>
  <c r="G75" i="20"/>
  <c r="J69" i="2"/>
  <c r="E104" i="20"/>
  <c r="F104" i="20" s="1"/>
  <c r="D105" i="20" s="1"/>
  <c r="J71" i="2"/>
  <c r="G76" i="2"/>
  <c r="G79" i="2"/>
  <c r="L209" i="2"/>
  <c r="K61" i="11"/>
  <c r="K63" i="11" s="1"/>
  <c r="K65" i="11" s="1"/>
  <c r="P23" i="13"/>
  <c r="J234" i="34" l="1"/>
  <c r="J237" i="34" s="1"/>
  <c r="J66" i="34"/>
  <c r="J69" i="34" s="1"/>
  <c r="J85" i="34" s="1"/>
  <c r="E235" i="34"/>
  <c r="E157" i="34"/>
  <c r="E173" i="34" s="1"/>
  <c r="E156" i="34"/>
  <c r="E172" i="34" s="1"/>
  <c r="E87" i="2"/>
  <c r="J230" i="34"/>
  <c r="J235" i="34" s="1"/>
  <c r="G252" i="2"/>
  <c r="H252" i="2" s="1"/>
  <c r="J252" i="2" s="1"/>
  <c r="J207" i="34"/>
  <c r="L246" i="2" s="1"/>
  <c r="L249" i="2" s="1"/>
  <c r="F157" i="34"/>
  <c r="F173" i="34" s="1"/>
  <c r="G157" i="34"/>
  <c r="G173" i="34" s="1"/>
  <c r="F70" i="34"/>
  <c r="F86" i="34" s="1"/>
  <c r="F69" i="34"/>
  <c r="F85" i="34" s="1"/>
  <c r="G156" i="34"/>
  <c r="G172" i="34" s="1"/>
  <c r="I70" i="34"/>
  <c r="I86" i="34" s="1"/>
  <c r="I156" i="34"/>
  <c r="I172" i="34" s="1"/>
  <c r="I155" i="34"/>
  <c r="I171" i="34" s="1"/>
  <c r="I174" i="34" s="1"/>
  <c r="I157" i="34"/>
  <c r="I173" i="34" s="1"/>
  <c r="I69" i="34"/>
  <c r="I85" i="34" s="1"/>
  <c r="E105" i="2"/>
  <c r="E104" i="2"/>
  <c r="A37" i="6"/>
  <c r="A39" i="6" s="1"/>
  <c r="A40" i="6" s="1"/>
  <c r="A41" i="6" s="1"/>
  <c r="A42" i="6" s="1"/>
  <c r="A43" i="6" s="1"/>
  <c r="A44" i="6" s="1"/>
  <c r="A45" i="6" s="1"/>
  <c r="A46" i="6" s="1"/>
  <c r="A47" i="6" s="1"/>
  <c r="A48" i="6" s="1"/>
  <c r="A49" i="6" s="1"/>
  <c r="A50" i="6" s="1"/>
  <c r="A51" i="6" s="1"/>
  <c r="A52" i="6" s="1"/>
  <c r="A53" i="6" s="1"/>
  <c r="A54" i="6" s="1"/>
  <c r="A61" i="6" s="1"/>
  <c r="A63" i="6" s="1"/>
  <c r="A64" i="6" s="1"/>
  <c r="A65" i="6" s="1"/>
  <c r="A66" i="6" s="1"/>
  <c r="A67" i="6" s="1"/>
  <c r="A68" i="6" s="1"/>
  <c r="A69" i="6" s="1"/>
  <c r="E107" i="2"/>
  <c r="E106" i="2"/>
  <c r="I235" i="34"/>
  <c r="F235" i="34"/>
  <c r="C157" i="34"/>
  <c r="C173" i="34" s="1"/>
  <c r="F156" i="34"/>
  <c r="F172" i="34" s="1"/>
  <c r="C53" i="11"/>
  <c r="H235" i="34"/>
  <c r="C156" i="34"/>
  <c r="C172" i="34" s="1"/>
  <c r="E66" i="34"/>
  <c r="J154" i="2"/>
  <c r="L154" i="2" s="1"/>
  <c r="J72" i="2"/>
  <c r="L72" i="2" s="1"/>
  <c r="G86" i="2"/>
  <c r="G91" i="2" s="1"/>
  <c r="I20" i="5"/>
  <c r="L86" i="2" s="1"/>
  <c r="B43" i="2"/>
  <c r="B45" i="2" s="1"/>
  <c r="B63" i="2" s="1"/>
  <c r="A30" i="34"/>
  <c r="A31" i="34" s="1"/>
  <c r="A34" i="5"/>
  <c r="A35" i="5" s="1"/>
  <c r="A36" i="5" s="1"/>
  <c r="A39" i="5" s="1"/>
  <c r="A41" i="5" s="1"/>
  <c r="A60" i="39"/>
  <c r="A63" i="39" s="1"/>
  <c r="A64" i="39" s="1"/>
  <c r="A65" i="39" s="1"/>
  <c r="A66" i="39" s="1"/>
  <c r="A68" i="39" s="1"/>
  <c r="D233" i="2"/>
  <c r="A54" i="11"/>
  <c r="A55" i="11" s="1"/>
  <c r="H156" i="34"/>
  <c r="H172" i="34" s="1"/>
  <c r="D28" i="5"/>
  <c r="J153" i="34"/>
  <c r="J155" i="34" s="1"/>
  <c r="J171" i="34" s="1"/>
  <c r="J174" i="34" s="1"/>
  <c r="G253" i="2"/>
  <c r="H157" i="34"/>
  <c r="H173" i="34" s="1"/>
  <c r="G82" i="2"/>
  <c r="G48" i="11"/>
  <c r="I24" i="41"/>
  <c r="E58" i="11"/>
  <c r="M57" i="11"/>
  <c r="J143" i="2"/>
  <c r="J134" i="2"/>
  <c r="J213" i="2"/>
  <c r="L213" i="2" s="1"/>
  <c r="L217" i="2" s="1"/>
  <c r="L219" i="2" s="1"/>
  <c r="J144" i="2"/>
  <c r="F102" i="13"/>
  <c r="I24" i="35"/>
  <c r="L24" i="35" s="1"/>
  <c r="E105" i="20"/>
  <c r="F105" i="20" s="1"/>
  <c r="D106" i="20" s="1"/>
  <c r="E67" i="11"/>
  <c r="E68" i="11" s="1"/>
  <c r="I67" i="11"/>
  <c r="I68" i="11" s="1"/>
  <c r="I69" i="11" s="1"/>
  <c r="K67" i="11"/>
  <c r="K68" i="11" s="1"/>
  <c r="G67" i="11"/>
  <c r="J233" i="2"/>
  <c r="G236" i="2"/>
  <c r="L23" i="35"/>
  <c r="J70" i="34" l="1"/>
  <c r="J86" i="34" s="1"/>
  <c r="J68" i="34"/>
  <c r="J84" i="34" s="1"/>
  <c r="J87" i="34" s="1"/>
  <c r="L252" i="2"/>
  <c r="L255" i="2" s="1"/>
  <c r="J210" i="34"/>
  <c r="J215" i="34" s="1"/>
  <c r="J220" i="34" s="1"/>
  <c r="J236" i="34" s="1"/>
  <c r="E45" i="2"/>
  <c r="D36" i="5"/>
  <c r="A70" i="6"/>
  <c r="A71" i="6" s="1"/>
  <c r="A72" i="6"/>
  <c r="A73" i="6" s="1"/>
  <c r="A74" i="6" s="1"/>
  <c r="A75" i="6" s="1"/>
  <c r="A76" i="6" s="1"/>
  <c r="A77" i="6" s="1"/>
  <c r="A78" i="6" s="1"/>
  <c r="E68" i="34"/>
  <c r="E84" i="34" s="1"/>
  <c r="E87" i="34" s="1"/>
  <c r="E69" i="34"/>
  <c r="E85" i="34" s="1"/>
  <c r="C55" i="11"/>
  <c r="E70" i="34"/>
  <c r="E86" i="34" s="1"/>
  <c r="E204" i="2"/>
  <c r="C75" i="13"/>
  <c r="C75" i="20"/>
  <c r="B64" i="2"/>
  <c r="B65" i="2" s="1"/>
  <c r="L253" i="2"/>
  <c r="H253" i="2"/>
  <c r="E88" i="2"/>
  <c r="D306" i="2"/>
  <c r="J157" i="34"/>
  <c r="J173" i="34" s="1"/>
  <c r="A74" i="39"/>
  <c r="A75" i="39" s="1"/>
  <c r="B50" i="39"/>
  <c r="A32" i="34"/>
  <c r="B32" i="34"/>
  <c r="J156" i="34"/>
  <c r="J172" i="34" s="1"/>
  <c r="C56" i="11"/>
  <c r="A56" i="11"/>
  <c r="A42" i="5"/>
  <c r="A43" i="5" s="1"/>
  <c r="A44" i="5" s="1"/>
  <c r="A47" i="5" s="1"/>
  <c r="A49" i="5" s="1"/>
  <c r="B31" i="34"/>
  <c r="E106" i="20"/>
  <c r="F106" i="20" s="1"/>
  <c r="D107" i="20" s="1"/>
  <c r="G51" i="11"/>
  <c r="M48" i="11"/>
  <c r="G59" i="20"/>
  <c r="G76" i="20"/>
  <c r="G77" i="20" s="1"/>
  <c r="G78" i="20" s="1"/>
  <c r="G79" i="20" s="1"/>
  <c r="D97" i="20" s="1"/>
  <c r="H76" i="13"/>
  <c r="H77" i="13" s="1"/>
  <c r="H78" i="13" s="1"/>
  <c r="H79" i="13" s="1"/>
  <c r="D96" i="13" s="1"/>
  <c r="F59" i="13"/>
  <c r="I25" i="35"/>
  <c r="J66" i="2"/>
  <c r="L66" i="2" s="1"/>
  <c r="J74" i="2"/>
  <c r="L74" i="2" s="1"/>
  <c r="J155" i="2"/>
  <c r="L155" i="2" s="1"/>
  <c r="J73" i="2"/>
  <c r="L73" i="2" s="1"/>
  <c r="J156" i="2"/>
  <c r="L156" i="2" s="1"/>
  <c r="J104" i="2"/>
  <c r="L104" i="2" s="1"/>
  <c r="J146" i="2"/>
  <c r="L146" i="2" s="1"/>
  <c r="J141" i="2"/>
  <c r="J102" i="2"/>
  <c r="L102" i="2" s="1"/>
  <c r="J65" i="2"/>
  <c r="L65" i="2" s="1"/>
  <c r="J67" i="2"/>
  <c r="L67" i="2" s="1"/>
  <c r="J75" i="2"/>
  <c r="L75" i="2" s="1"/>
  <c r="J161" i="2"/>
  <c r="J97" i="2"/>
  <c r="L97" i="2" s="1"/>
  <c r="E59" i="11"/>
  <c r="E21" i="13"/>
  <c r="E21" i="20"/>
  <c r="D103" i="13"/>
  <c r="G102" i="13"/>
  <c r="I25" i="41"/>
  <c r="L25" i="41" s="1"/>
  <c r="H234" i="2"/>
  <c r="I234" i="2" s="1"/>
  <c r="H235" i="2"/>
  <c r="H233" i="2"/>
  <c r="E69" i="11"/>
  <c r="J101" i="2"/>
  <c r="L101" i="2" s="1"/>
  <c r="J64" i="2"/>
  <c r="L64" i="2" s="1"/>
  <c r="L24" i="41"/>
  <c r="G254" i="2" l="1"/>
  <c r="H254" i="2" s="1"/>
  <c r="I27" i="5"/>
  <c r="I28" i="5" s="1"/>
  <c r="L87" i="2" s="1"/>
  <c r="L91" i="2" s="1"/>
  <c r="E28" i="5"/>
  <c r="E89" i="2"/>
  <c r="B76" i="39"/>
  <c r="E224" i="2"/>
  <c r="A76" i="39"/>
  <c r="A50" i="5"/>
  <c r="A51" i="5" s="1"/>
  <c r="A34" i="34"/>
  <c r="B66" i="2"/>
  <c r="B67" i="2" s="1"/>
  <c r="D44" i="5"/>
  <c r="A57" i="11"/>
  <c r="C57" i="11"/>
  <c r="L80" i="2"/>
  <c r="L76" i="2"/>
  <c r="L157" i="2"/>
  <c r="M51" i="11"/>
  <c r="G53" i="11"/>
  <c r="L79" i="2"/>
  <c r="L68" i="2"/>
  <c r="J68" i="2" s="1"/>
  <c r="L25" i="35"/>
  <c r="E107" i="20"/>
  <c r="F107" i="20" s="1"/>
  <c r="D108" i="20" s="1"/>
  <c r="I235" i="2"/>
  <c r="I233" i="2" s="1"/>
  <c r="L234" i="2"/>
  <c r="D22" i="20"/>
  <c r="F22" i="20" s="1"/>
  <c r="D22" i="13"/>
  <c r="F22" i="13" s="1"/>
  <c r="E103" i="13"/>
  <c r="F103" i="13" s="1"/>
  <c r="H236" i="2"/>
  <c r="I26" i="41"/>
  <c r="L81" i="2"/>
  <c r="I26" i="35"/>
  <c r="L26" i="35" s="1"/>
  <c r="G61" i="11"/>
  <c r="L254" i="2" l="1"/>
  <c r="D51" i="5"/>
  <c r="A35" i="34"/>
  <c r="B68" i="2"/>
  <c r="B70" i="2" s="1"/>
  <c r="B71" i="2" s="1"/>
  <c r="E68" i="2"/>
  <c r="A52" i="5"/>
  <c r="E90" i="2" s="1"/>
  <c r="A58" i="11"/>
  <c r="C58" i="11"/>
  <c r="D104" i="13"/>
  <c r="E104" i="13" s="1"/>
  <c r="F104" i="13" s="1"/>
  <c r="G103" i="13"/>
  <c r="E108" i="20"/>
  <c r="F108" i="20" s="1"/>
  <c r="D109" i="20" s="1"/>
  <c r="M61" i="11"/>
  <c r="G63" i="11"/>
  <c r="D21" i="20"/>
  <c r="F21" i="20" s="1"/>
  <c r="D21" i="13"/>
  <c r="F21" i="13" s="1"/>
  <c r="L233" i="2"/>
  <c r="L26" i="41"/>
  <c r="D23" i="20"/>
  <c r="F23" i="20" s="1"/>
  <c r="D23" i="13"/>
  <c r="F23" i="13" s="1"/>
  <c r="L235" i="2"/>
  <c r="G64" i="20"/>
  <c r="F64" i="13"/>
  <c r="L82" i="2"/>
  <c r="J82" i="2" s="1"/>
  <c r="G55" i="11"/>
  <c r="G58" i="11" s="1"/>
  <c r="M58" i="11" s="1"/>
  <c r="M53" i="11"/>
  <c r="J165" i="2"/>
  <c r="J142" i="2"/>
  <c r="L142" i="2" s="1"/>
  <c r="J103" i="2"/>
  <c r="L103" i="2" s="1"/>
  <c r="J105" i="2"/>
  <c r="I27" i="35"/>
  <c r="I27" i="41"/>
  <c r="L27" i="41" s="1"/>
  <c r="C59" i="11" l="1"/>
  <c r="A59" i="11"/>
  <c r="A61" i="11" s="1"/>
  <c r="A62" i="11" s="1"/>
  <c r="A63" i="11" s="1"/>
  <c r="B72" i="2"/>
  <c r="B73" i="2" s="1"/>
  <c r="A36" i="34"/>
  <c r="A37" i="34" s="1"/>
  <c r="D105" i="13"/>
  <c r="G104" i="13"/>
  <c r="E109" i="20"/>
  <c r="F109" i="20" s="1"/>
  <c r="D110" i="20" s="1"/>
  <c r="J175" i="2"/>
  <c r="L175" i="2" s="1"/>
  <c r="L179" i="2" s="1"/>
  <c r="J178" i="2"/>
  <c r="L178" i="2" s="1"/>
  <c r="J176" i="2"/>
  <c r="L176" i="2" s="1"/>
  <c r="L180" i="2" s="1"/>
  <c r="G65" i="11"/>
  <c r="G68" i="11" s="1"/>
  <c r="M68" i="11" s="1"/>
  <c r="M63" i="11"/>
  <c r="L236" i="2"/>
  <c r="G170" i="2" s="1"/>
  <c r="I28" i="41"/>
  <c r="L28" i="41" s="1"/>
  <c r="F24" i="13"/>
  <c r="E29" i="13" s="1"/>
  <c r="I28" i="35"/>
  <c r="L28" i="35" s="1"/>
  <c r="L27" i="35"/>
  <c r="F24" i="20"/>
  <c r="F29" i="20" s="1"/>
  <c r="A38" i="34" l="1"/>
  <c r="B38" i="34"/>
  <c r="B74" i="2"/>
  <c r="B75" i="2" s="1"/>
  <c r="B37" i="34"/>
  <c r="A64" i="11"/>
  <c r="A65" i="11" s="1"/>
  <c r="E79" i="2"/>
  <c r="E110" i="20"/>
  <c r="F110" i="20" s="1"/>
  <c r="D111" i="20" s="1"/>
  <c r="F35" i="20"/>
  <c r="G189" i="2"/>
  <c r="E35" i="13"/>
  <c r="L189" i="2"/>
  <c r="I29" i="35"/>
  <c r="E37" i="13"/>
  <c r="F37" i="20"/>
  <c r="E39" i="13"/>
  <c r="F39" i="20"/>
  <c r="I29" i="41"/>
  <c r="L29" i="41" s="1"/>
  <c r="E38" i="13"/>
  <c r="F38" i="20"/>
  <c r="E105" i="13"/>
  <c r="F105" i="13" s="1"/>
  <c r="C66" i="11" l="1"/>
  <c r="A66" i="11"/>
  <c r="A67" i="11" s="1"/>
  <c r="C68" i="11" s="1"/>
  <c r="B76" i="2"/>
  <c r="B78" i="2" s="1"/>
  <c r="B79" i="2" s="1"/>
  <c r="E81" i="2"/>
  <c r="E76" i="2"/>
  <c r="C65" i="11"/>
  <c r="E80" i="2"/>
  <c r="A40" i="34"/>
  <c r="D106" i="13"/>
  <c r="G105" i="13"/>
  <c r="L29" i="35"/>
  <c r="E111" i="20"/>
  <c r="F111" i="20" s="1"/>
  <c r="D112" i="20" s="1"/>
  <c r="I30" i="41"/>
  <c r="L30" i="41" s="1"/>
  <c r="I30" i="35"/>
  <c r="L30" i="35" s="1"/>
  <c r="C64" i="13" l="1"/>
  <c r="C64" i="20"/>
  <c r="B80" i="2"/>
  <c r="B81" i="2" s="1"/>
  <c r="B82" i="2" s="1"/>
  <c r="C48" i="11" s="1"/>
  <c r="A68" i="11"/>
  <c r="C67" i="11"/>
  <c r="A41" i="34"/>
  <c r="E112" i="20"/>
  <c r="F112" i="20" s="1"/>
  <c r="D113" i="20" s="1"/>
  <c r="I31" i="35"/>
  <c r="L31" i="35" s="1"/>
  <c r="I31" i="41"/>
  <c r="L31" i="41" s="1"/>
  <c r="E106" i="13"/>
  <c r="F106" i="13" s="1"/>
  <c r="A42" i="34" l="1"/>
  <c r="A43" i="34" s="1"/>
  <c r="B85" i="2"/>
  <c r="B86" i="2" s="1"/>
  <c r="A69" i="11"/>
  <c r="C69" i="11"/>
  <c r="E82" i="2"/>
  <c r="D107" i="13"/>
  <c r="E107" i="13" s="1"/>
  <c r="F107" i="13" s="1"/>
  <c r="G106" i="13"/>
  <c r="I32" i="41"/>
  <c r="I32" i="35"/>
  <c r="E113" i="20"/>
  <c r="F113" i="20" s="1"/>
  <c r="D114" i="20" s="1"/>
  <c r="B43" i="34" l="1"/>
  <c r="B87" i="2"/>
  <c r="B88" i="2" s="1"/>
  <c r="B89" i="2" s="1"/>
  <c r="B90" i="2" s="1"/>
  <c r="B91" i="2" s="1"/>
  <c r="A44" i="34"/>
  <c r="B44" i="34"/>
  <c r="D108" i="13"/>
  <c r="G107" i="13"/>
  <c r="E114" i="20"/>
  <c r="F114" i="20" s="1"/>
  <c r="D115" i="20" s="1"/>
  <c r="L32" i="41"/>
  <c r="L33" i="41" s="1"/>
  <c r="E36" i="41" s="1"/>
  <c r="I36" i="41" s="1"/>
  <c r="I33" i="41"/>
  <c r="L32" i="35"/>
  <c r="L33" i="35" s="1"/>
  <c r="E36" i="35" s="1"/>
  <c r="I33" i="35"/>
  <c r="A46" i="34" l="1"/>
  <c r="B93" i="2"/>
  <c r="B95" i="2" s="1"/>
  <c r="B97" i="2" s="1"/>
  <c r="B99" i="2" s="1"/>
  <c r="B100" i="2" s="1"/>
  <c r="E91" i="2"/>
  <c r="E115" i="20"/>
  <c r="F115" i="20" s="1"/>
  <c r="I36" i="35"/>
  <c r="L36" i="35" s="1"/>
  <c r="L36" i="41"/>
  <c r="E108" i="13"/>
  <c r="F108" i="13" s="1"/>
  <c r="B101" i="2" l="1"/>
  <c r="B102" i="2" s="1"/>
  <c r="B103" i="2" s="1"/>
  <c r="B104" i="2" s="1"/>
  <c r="B105" i="2" s="1"/>
  <c r="B106" i="2" s="1"/>
  <c r="B107" i="2" s="1"/>
  <c r="B108" i="2" s="1"/>
  <c r="B110" i="2" s="1"/>
  <c r="A47" i="34"/>
  <c r="E39" i="35"/>
  <c r="J39" i="35"/>
  <c r="D109" i="13"/>
  <c r="G108" i="13"/>
  <c r="D116" i="20"/>
  <c r="E39" i="41"/>
  <c r="J39" i="41"/>
  <c r="E108" i="2" l="1"/>
  <c r="A48" i="34"/>
  <c r="A49" i="34" s="1"/>
  <c r="D302" i="2"/>
  <c r="B112" i="2"/>
  <c r="D112" i="2"/>
  <c r="J40" i="35"/>
  <c r="J41" i="35" s="1"/>
  <c r="J42" i="35" s="1"/>
  <c r="J43" i="35" s="1"/>
  <c r="J44" i="35" s="1"/>
  <c r="J45" i="35" s="1"/>
  <c r="J46" i="35" s="1"/>
  <c r="J47" i="35" s="1"/>
  <c r="J48" i="35" s="1"/>
  <c r="J49" i="35" s="1"/>
  <c r="J50" i="35" s="1"/>
  <c r="L39" i="35"/>
  <c r="E40" i="35" s="1"/>
  <c r="I39" i="35"/>
  <c r="L39" i="41"/>
  <c r="E40" i="41" s="1"/>
  <c r="I39" i="41"/>
  <c r="E116" i="20"/>
  <c r="F116" i="20" s="1"/>
  <c r="D117" i="20" s="1"/>
  <c r="J40" i="41"/>
  <c r="J41" i="41" s="1"/>
  <c r="J42" i="41" s="1"/>
  <c r="J43" i="41" s="1"/>
  <c r="J44" i="41" s="1"/>
  <c r="J45" i="41" s="1"/>
  <c r="J46" i="41" s="1"/>
  <c r="J47" i="41" s="1"/>
  <c r="J48" i="41" s="1"/>
  <c r="J49" i="41" s="1"/>
  <c r="J50" i="41" s="1"/>
  <c r="E109" i="13"/>
  <c r="F109" i="13" s="1"/>
  <c r="B49" i="34" l="1"/>
  <c r="C28" i="13"/>
  <c r="B127" i="2"/>
  <c r="C28" i="20"/>
  <c r="A50" i="34"/>
  <c r="B52" i="34"/>
  <c r="B50" i="34"/>
  <c r="J53" i="41"/>
  <c r="D110" i="13"/>
  <c r="G109" i="13"/>
  <c r="E117" i="20"/>
  <c r="F117" i="20" s="1"/>
  <c r="D118" i="20" s="1"/>
  <c r="L40" i="35"/>
  <c r="E41" i="35" s="1"/>
  <c r="I40" i="35"/>
  <c r="L40" i="41"/>
  <c r="E41" i="41" s="1"/>
  <c r="I40" i="41"/>
  <c r="J53" i="35"/>
  <c r="J55" i="41" l="1"/>
  <c r="J55" i="35"/>
  <c r="B128" i="2"/>
  <c r="B129" i="2" s="1"/>
  <c r="A52" i="34"/>
  <c r="B53" i="34"/>
  <c r="E118" i="20"/>
  <c r="F118" i="20" s="1"/>
  <c r="L41" i="35"/>
  <c r="E42" i="35" s="1"/>
  <c r="I41" i="35"/>
  <c r="L41" i="41"/>
  <c r="E42" i="41" s="1"/>
  <c r="I41" i="41"/>
  <c r="E110" i="13"/>
  <c r="F110" i="13" s="1"/>
  <c r="D111" i="13" s="1"/>
  <c r="A53" i="34" l="1"/>
  <c r="B64" i="34"/>
  <c r="B57" i="34"/>
  <c r="B130" i="2"/>
  <c r="B131" i="2" s="1"/>
  <c r="E130" i="2"/>
  <c r="D119" i="20"/>
  <c r="E111" i="13"/>
  <c r="F111" i="13" s="1"/>
  <c r="L42" i="41"/>
  <c r="E43" i="41" s="1"/>
  <c r="I42" i="41"/>
  <c r="G110" i="13"/>
  <c r="L42" i="35"/>
  <c r="E43" i="35" s="1"/>
  <c r="I42" i="35"/>
  <c r="E41" i="2" l="1"/>
  <c r="B132" i="2"/>
  <c r="B133" i="2" s="1"/>
  <c r="D297" i="2"/>
  <c r="A56" i="34"/>
  <c r="B203" i="34"/>
  <c r="B80" i="34"/>
  <c r="D112" i="13"/>
  <c r="G111" i="13"/>
  <c r="L43" i="35"/>
  <c r="E44" i="35" s="1"/>
  <c r="I43" i="35"/>
  <c r="L43" i="41"/>
  <c r="E44" i="41" s="1"/>
  <c r="I43" i="41"/>
  <c r="E119" i="20"/>
  <c r="F119" i="20" s="1"/>
  <c r="E134" i="2" l="1"/>
  <c r="D299" i="2"/>
  <c r="B134" i="2"/>
  <c r="A57" i="34"/>
  <c r="A58" i="34" s="1"/>
  <c r="D120" i="20"/>
  <c r="L44" i="41"/>
  <c r="E45" i="41" s="1"/>
  <c r="I44" i="41"/>
  <c r="L44" i="35"/>
  <c r="E45" i="35" s="1"/>
  <c r="I44" i="35"/>
  <c r="E112" i="13"/>
  <c r="F112" i="13" s="1"/>
  <c r="D113" i="13" s="1"/>
  <c r="A59" i="34" l="1"/>
  <c r="E100" i="2"/>
  <c r="D296" i="2"/>
  <c r="B136" i="2"/>
  <c r="L45" i="35"/>
  <c r="E46" i="35" s="1"/>
  <c r="I45" i="35"/>
  <c r="L45" i="41"/>
  <c r="E46" i="41" s="1"/>
  <c r="I45" i="41"/>
  <c r="E113" i="13"/>
  <c r="F113" i="13" s="1"/>
  <c r="D114" i="13" s="1"/>
  <c r="G112" i="13"/>
  <c r="E120" i="20"/>
  <c r="F120" i="20" s="1"/>
  <c r="D121" i="20" s="1"/>
  <c r="B137" i="2" l="1"/>
  <c r="A60" i="34"/>
  <c r="L46" i="35"/>
  <c r="E47" i="35" s="1"/>
  <c r="I46" i="35"/>
  <c r="G113" i="13"/>
  <c r="E121" i="20"/>
  <c r="F121" i="20" s="1"/>
  <c r="D122" i="20" s="1"/>
  <c r="E114" i="13"/>
  <c r="F114" i="13" s="1"/>
  <c r="L46" i="41"/>
  <c r="E47" i="41" s="1"/>
  <c r="I46" i="41"/>
  <c r="A63" i="34" l="1"/>
  <c r="B65" i="34"/>
  <c r="B138" i="2"/>
  <c r="B139" i="2" s="1"/>
  <c r="B140" i="2" s="1"/>
  <c r="B141" i="2" s="1"/>
  <c r="E142" i="2"/>
  <c r="D115" i="13"/>
  <c r="E115" i="13" s="1"/>
  <c r="G114" i="13"/>
  <c r="L47" i="41"/>
  <c r="E48" i="41" s="1"/>
  <c r="I47" i="41"/>
  <c r="E122" i="20"/>
  <c r="F122" i="20" s="1"/>
  <c r="L47" i="35"/>
  <c r="E48" i="35" s="1"/>
  <c r="I47" i="35"/>
  <c r="F115" i="13" l="1"/>
  <c r="D116" i="13" s="1"/>
  <c r="E116" i="13" s="1"/>
  <c r="F116" i="13" s="1"/>
  <c r="B142" i="2"/>
  <c r="B143" i="2" s="1"/>
  <c r="B144" i="2" s="1"/>
  <c r="B145" i="2" s="1"/>
  <c r="B146" i="2" s="1"/>
  <c r="B147" i="2" s="1"/>
  <c r="E141" i="2"/>
  <c r="A64" i="34"/>
  <c r="D123" i="20"/>
  <c r="E123" i="20" s="1"/>
  <c r="F123" i="20" s="1"/>
  <c r="L48" i="41"/>
  <c r="E49" i="41" s="1"/>
  <c r="I48" i="41"/>
  <c r="L48" i="35"/>
  <c r="E49" i="35" s="1"/>
  <c r="I48" i="35"/>
  <c r="G115" i="13" l="1"/>
  <c r="A65" i="34"/>
  <c r="E147" i="2"/>
  <c r="D300" i="2"/>
  <c r="B149" i="2"/>
  <c r="E149" i="2"/>
  <c r="D124" i="20"/>
  <c r="E124" i="20" s="1"/>
  <c r="D117" i="13"/>
  <c r="G116" i="13"/>
  <c r="L49" i="35"/>
  <c r="E50" i="35" s="1"/>
  <c r="I49" i="35"/>
  <c r="L49" i="41"/>
  <c r="E50" i="41" s="1"/>
  <c r="I49" i="41"/>
  <c r="B150" i="2" l="1"/>
  <c r="E151" i="2" s="1"/>
  <c r="A66" i="34"/>
  <c r="F124" i="20"/>
  <c r="D125" i="20" s="1"/>
  <c r="E125" i="20" s="1"/>
  <c r="F125" i="20" s="1"/>
  <c r="D126" i="20" s="1"/>
  <c r="L50" i="35"/>
  <c r="I50" i="35"/>
  <c r="I51" i="35" s="1"/>
  <c r="L50" i="41"/>
  <c r="I50" i="41"/>
  <c r="I51" i="41" s="1"/>
  <c r="E117" i="13"/>
  <c r="F117" i="13" s="1"/>
  <c r="D118" i="13" s="1"/>
  <c r="A68" i="34" l="1"/>
  <c r="B68" i="34"/>
  <c r="B69" i="34"/>
  <c r="B70" i="34"/>
  <c r="C48" i="20"/>
  <c r="D315" i="2"/>
  <c r="B151" i="2"/>
  <c r="C48" i="13"/>
  <c r="E27" i="2"/>
  <c r="D313" i="2"/>
  <c r="D310" i="2"/>
  <c r="E126" i="20"/>
  <c r="F126" i="20" s="1"/>
  <c r="E118" i="13"/>
  <c r="F118" i="13" s="1"/>
  <c r="D119" i="13" s="1"/>
  <c r="G117" i="13"/>
  <c r="B153" i="2" l="1"/>
  <c r="B154" i="2" s="1"/>
  <c r="A69" i="34"/>
  <c r="G118" i="13"/>
  <c r="D127" i="20"/>
  <c r="E119" i="13"/>
  <c r="F119" i="13" s="1"/>
  <c r="A70" i="34" l="1"/>
  <c r="C59" i="20"/>
  <c r="B155" i="2"/>
  <c r="B156" i="2" s="1"/>
  <c r="B157" i="2" s="1"/>
  <c r="C59" i="13"/>
  <c r="C76" i="13"/>
  <c r="C76" i="20"/>
  <c r="E31" i="2"/>
  <c r="E127" i="20"/>
  <c r="F127" i="20" s="1"/>
  <c r="D120" i="13"/>
  <c r="G119" i="13"/>
  <c r="E157" i="2" l="1"/>
  <c r="B159" i="2"/>
  <c r="B160" i="2" s="1"/>
  <c r="B161" i="2" s="1"/>
  <c r="A72" i="34"/>
  <c r="A74" i="34" s="1"/>
  <c r="A75" i="34" s="1"/>
  <c r="A76" i="34" s="1"/>
  <c r="A79" i="34" s="1"/>
  <c r="D128" i="20"/>
  <c r="E120" i="13"/>
  <c r="F120" i="13" s="1"/>
  <c r="A80" i="34" l="1"/>
  <c r="B84" i="34"/>
  <c r="B162" i="2"/>
  <c r="B163" i="2" s="1"/>
  <c r="B164" i="2" s="1"/>
  <c r="B165" i="2" s="1"/>
  <c r="B166" i="2" s="1"/>
  <c r="E128" i="20"/>
  <c r="F128" i="20" s="1"/>
  <c r="D121" i="13"/>
  <c r="G120" i="13"/>
  <c r="E166" i="2" l="1"/>
  <c r="B168" i="2"/>
  <c r="B169" i="2" s="1"/>
  <c r="A81" i="34"/>
  <c r="B85" i="34"/>
  <c r="D129" i="20"/>
  <c r="E121" i="13"/>
  <c r="F121" i="13" s="1"/>
  <c r="D122" i="13" s="1"/>
  <c r="A84" i="34" l="1"/>
  <c r="A85" i="34" s="1"/>
  <c r="A86" i="34" s="1"/>
  <c r="A87" i="34" s="1"/>
  <c r="A96" i="34" s="1"/>
  <c r="B86" i="34"/>
  <c r="D173" i="2"/>
  <c r="B170" i="2"/>
  <c r="E129" i="20"/>
  <c r="F129" i="20" s="1"/>
  <c r="D130" i="20" s="1"/>
  <c r="E122" i="13"/>
  <c r="F122" i="13" s="1"/>
  <c r="D123" i="13" s="1"/>
  <c r="G121" i="13"/>
  <c r="C35" i="13" l="1"/>
  <c r="C35" i="20"/>
  <c r="B171" i="2"/>
  <c r="B172" i="2" s="1"/>
  <c r="B173" i="2" s="1"/>
  <c r="A97" i="34"/>
  <c r="B183" i="34"/>
  <c r="E130" i="20"/>
  <c r="F130" i="20" s="1"/>
  <c r="D131" i="20" s="1"/>
  <c r="G122" i="13"/>
  <c r="E123" i="13"/>
  <c r="F123" i="13" s="1"/>
  <c r="D124" i="13" s="1"/>
  <c r="B174" i="2" l="1"/>
  <c r="E178" i="2" s="1"/>
  <c r="A98" i="34"/>
  <c r="B184" i="34"/>
  <c r="E131" i="20"/>
  <c r="F131" i="20" s="1"/>
  <c r="D132" i="20" s="1"/>
  <c r="G123" i="13"/>
  <c r="E124" i="13"/>
  <c r="F124" i="13" s="1"/>
  <c r="B185" i="34" l="1"/>
  <c r="A99" i="34"/>
  <c r="B175" i="2"/>
  <c r="D340" i="2"/>
  <c r="E132" i="20"/>
  <c r="F132" i="20" s="1"/>
  <c r="D125" i="13"/>
  <c r="G124" i="13"/>
  <c r="B176" i="2" l="1"/>
  <c r="E179" i="2"/>
  <c r="B186" i="34"/>
  <c r="A100" i="34"/>
  <c r="A101" i="34" s="1"/>
  <c r="D133" i="20"/>
  <c r="E125" i="13"/>
  <c r="F125" i="13" s="1"/>
  <c r="D126" i="13" s="1"/>
  <c r="A103" i="34" l="1"/>
  <c r="B150" i="34"/>
  <c r="B177" i="2"/>
  <c r="E180" i="2"/>
  <c r="E133" i="20"/>
  <c r="F133" i="20" s="1"/>
  <c r="D134" i="20" s="1"/>
  <c r="E126" i="13"/>
  <c r="F126" i="13" s="1"/>
  <c r="D127" i="13" s="1"/>
  <c r="G125" i="13"/>
  <c r="B178" i="2" l="1"/>
  <c r="B179" i="2" s="1"/>
  <c r="B180" i="2" s="1"/>
  <c r="B181" i="2" s="1"/>
  <c r="B100" i="34"/>
  <c r="A106" i="34"/>
  <c r="A107" i="34" s="1"/>
  <c r="A108" i="34" s="1"/>
  <c r="A109" i="34" s="1"/>
  <c r="A110" i="34" s="1"/>
  <c r="A111" i="34" s="1"/>
  <c r="A112" i="34" s="1"/>
  <c r="E134" i="20"/>
  <c r="F134" i="20" s="1"/>
  <c r="G126" i="13"/>
  <c r="E127" i="13"/>
  <c r="F127" i="13" s="1"/>
  <c r="D128" i="13" s="1"/>
  <c r="D135" i="20" l="1"/>
  <c r="E135" i="20" s="1"/>
  <c r="F135" i="20" s="1"/>
  <c r="D136" i="20" s="1"/>
  <c r="B183" i="2"/>
  <c r="E34" i="2" s="1"/>
  <c r="C50" i="13"/>
  <c r="C50" i="20"/>
  <c r="B166" i="34"/>
  <c r="A115" i="34"/>
  <c r="E181" i="2"/>
  <c r="G127" i="13"/>
  <c r="E128" i="13"/>
  <c r="F128" i="13" s="1"/>
  <c r="A116" i="34" l="1"/>
  <c r="C49" i="13"/>
  <c r="C49" i="20"/>
  <c r="B185" i="2"/>
  <c r="E177" i="2"/>
  <c r="E136" i="20"/>
  <c r="F136" i="20" s="1"/>
  <c r="D137" i="20" s="1"/>
  <c r="D129" i="13"/>
  <c r="E129" i="13" s="1"/>
  <c r="F129" i="13" s="1"/>
  <c r="D130" i="13" s="1"/>
  <c r="G128" i="13"/>
  <c r="B187" i="2" l="1"/>
  <c r="D304" i="2"/>
  <c r="A117" i="34"/>
  <c r="A118" i="34" s="1"/>
  <c r="E137" i="20"/>
  <c r="F137" i="20" s="1"/>
  <c r="D138" i="20" s="1"/>
  <c r="E130" i="13"/>
  <c r="F130" i="13" s="1"/>
  <c r="G129" i="13"/>
  <c r="B118" i="34" l="1"/>
  <c r="A119" i="34"/>
  <c r="B119" i="34"/>
  <c r="D189" i="2"/>
  <c r="B189" i="2"/>
  <c r="B191" i="2" s="1"/>
  <c r="D131" i="13"/>
  <c r="E131" i="13" s="1"/>
  <c r="F131" i="13" s="1"/>
  <c r="G130" i="13"/>
  <c r="E138" i="20"/>
  <c r="F138" i="20" s="1"/>
  <c r="D139" i="20" s="1"/>
  <c r="D192" i="2" l="1"/>
  <c r="A121" i="34"/>
  <c r="E13" i="2"/>
  <c r="B204" i="2"/>
  <c r="E139" i="20"/>
  <c r="F139" i="20" s="1"/>
  <c r="D140" i="20" s="1"/>
  <c r="D132" i="13"/>
  <c r="G131" i="13"/>
  <c r="B205" i="2" l="1"/>
  <c r="B206" i="2" s="1"/>
  <c r="B207" i="2" s="1"/>
  <c r="A122" i="34"/>
  <c r="E140" i="20"/>
  <c r="F140" i="20" s="1"/>
  <c r="E132" i="13"/>
  <c r="F132" i="13" s="1"/>
  <c r="A123" i="34" l="1"/>
  <c r="A124" i="34" s="1"/>
  <c r="B209" i="2"/>
  <c r="B211" i="2" s="1"/>
  <c r="B212" i="2" s="1"/>
  <c r="B213" i="2" s="1"/>
  <c r="E209" i="2"/>
  <c r="E63" i="2"/>
  <c r="E207" i="2"/>
  <c r="D141" i="20"/>
  <c r="D133" i="13"/>
  <c r="E133" i="13" s="1"/>
  <c r="F133" i="13" s="1"/>
  <c r="D134" i="13" s="1"/>
  <c r="G132" i="13"/>
  <c r="B214" i="2" l="1"/>
  <c r="B215" i="2" s="1"/>
  <c r="B216" i="2" s="1"/>
  <c r="B217" i="2" s="1"/>
  <c r="B219" i="2" s="1"/>
  <c r="B222" i="2" s="1"/>
  <c r="B223" i="2" s="1"/>
  <c r="B124" i="34"/>
  <c r="A125" i="34"/>
  <c r="B125" i="34"/>
  <c r="E141" i="20"/>
  <c r="F141" i="20" s="1"/>
  <c r="D142" i="20" s="1"/>
  <c r="E142" i="20" s="1"/>
  <c r="F142" i="20" s="1"/>
  <c r="D143" i="20" s="1"/>
  <c r="E143" i="20" s="1"/>
  <c r="F143" i="20" s="1"/>
  <c r="E134" i="13"/>
  <c r="F134" i="13" s="1"/>
  <c r="D135" i="13" s="1"/>
  <c r="G133" i="13"/>
  <c r="E217" i="2" l="1"/>
  <c r="A127" i="34"/>
  <c r="B224" i="2"/>
  <c r="B225" i="2" s="1"/>
  <c r="B226" i="2" s="1"/>
  <c r="D144" i="20"/>
  <c r="E135" i="13"/>
  <c r="F135" i="13" s="1"/>
  <c r="G134" i="13"/>
  <c r="B227" i="2" l="1"/>
  <c r="A128" i="34"/>
  <c r="D136" i="13"/>
  <c r="G135" i="13"/>
  <c r="E144" i="20"/>
  <c r="F144" i="20" s="1"/>
  <c r="A129" i="34" l="1"/>
  <c r="A130" i="34" s="1"/>
  <c r="B228" i="2"/>
  <c r="D234" i="2"/>
  <c r="D145" i="20"/>
  <c r="E145" i="20" s="1"/>
  <c r="E136" i="13"/>
  <c r="F136" i="13" s="1"/>
  <c r="B130" i="34" l="1"/>
  <c r="B229" i="2"/>
  <c r="B230" i="2" s="1"/>
  <c r="A131" i="34"/>
  <c r="B131" i="34"/>
  <c r="F145" i="20"/>
  <c r="D137" i="13"/>
  <c r="G136" i="13"/>
  <c r="A133" i="34" l="1"/>
  <c r="E230" i="2"/>
  <c r="D235" i="2"/>
  <c r="B233" i="2"/>
  <c r="D146" i="20"/>
  <c r="E146" i="20" s="1"/>
  <c r="F146" i="20" s="1"/>
  <c r="D147" i="20" s="1"/>
  <c r="E137" i="13"/>
  <c r="F137" i="13" s="1"/>
  <c r="D138" i="13" s="1"/>
  <c r="B234" i="2" l="1"/>
  <c r="B235" i="2" s="1"/>
  <c r="D236" i="2" s="1"/>
  <c r="A134" i="34"/>
  <c r="G137" i="13"/>
  <c r="E138" i="13"/>
  <c r="F138" i="13" s="1"/>
  <c r="E147" i="20"/>
  <c r="F147" i="20" s="1"/>
  <c r="C19" i="13" l="1"/>
  <c r="D351" i="2"/>
  <c r="C19" i="20"/>
  <c r="A135" i="34"/>
  <c r="A136" i="34" s="1"/>
  <c r="B236" i="2"/>
  <c r="C16" i="13"/>
  <c r="C16" i="20"/>
  <c r="D148" i="20"/>
  <c r="E148" i="20" s="1"/>
  <c r="F148" i="20" s="1"/>
  <c r="D139" i="13"/>
  <c r="G138" i="13"/>
  <c r="B136" i="34" l="1"/>
  <c r="B238" i="2"/>
  <c r="B241" i="2" s="1"/>
  <c r="B242" i="2" s="1"/>
  <c r="B243" i="2" s="1"/>
  <c r="B244" i="2" s="1"/>
  <c r="B245" i="2" s="1"/>
  <c r="E183" i="2"/>
  <c r="D171" i="2"/>
  <c r="A137" i="34"/>
  <c r="B139" i="34"/>
  <c r="B137" i="34"/>
  <c r="D149" i="20"/>
  <c r="E139" i="13"/>
  <c r="F139" i="13" s="1"/>
  <c r="A139" i="34" l="1"/>
  <c r="B140" i="34"/>
  <c r="B246" i="2"/>
  <c r="B247" i="2" s="1"/>
  <c r="B248" i="2" s="1"/>
  <c r="B249" i="2" s="1"/>
  <c r="B251" i="2" s="1"/>
  <c r="B252" i="2" s="1"/>
  <c r="B253" i="2" s="1"/>
  <c r="B254" i="2" s="1"/>
  <c r="B255" i="2" s="1"/>
  <c r="D140" i="13"/>
  <c r="G139" i="13"/>
  <c r="E149" i="20"/>
  <c r="F149" i="20" s="1"/>
  <c r="E249" i="2" l="1"/>
  <c r="B144" i="34"/>
  <c r="A140" i="34"/>
  <c r="B151" i="34"/>
  <c r="B202" i="34"/>
  <c r="D150" i="20"/>
  <c r="E140" i="13"/>
  <c r="F140" i="13" s="1"/>
  <c r="D141" i="13" s="1"/>
  <c r="A143" i="34" l="1"/>
  <c r="B167" i="34"/>
  <c r="E141" i="13"/>
  <c r="F141" i="13" s="1"/>
  <c r="D142" i="13" s="1"/>
  <c r="E150" i="20"/>
  <c r="F150" i="20" s="1"/>
  <c r="G140" i="13"/>
  <c r="A144" i="34" l="1"/>
  <c r="A145" i="34" s="1"/>
  <c r="B206" i="34"/>
  <c r="D151" i="20"/>
  <c r="E142" i="13"/>
  <c r="F142" i="13" s="1"/>
  <c r="D143" i="13" s="1"/>
  <c r="G141" i="13"/>
  <c r="A146" i="34" l="1"/>
  <c r="B208" i="34"/>
  <c r="G142" i="13"/>
  <c r="E143" i="13"/>
  <c r="F143" i="13" s="1"/>
  <c r="D144" i="13" s="1"/>
  <c r="E151" i="20"/>
  <c r="F151" i="20" s="1"/>
  <c r="D152" i="20" s="1"/>
  <c r="A147" i="34" l="1"/>
  <c r="B209" i="34"/>
  <c r="E144" i="13"/>
  <c r="F144" i="13" s="1"/>
  <c r="D145" i="13" s="1"/>
  <c r="G143" i="13"/>
  <c r="E152" i="20"/>
  <c r="F152" i="20" s="1"/>
  <c r="A150" i="34" l="1"/>
  <c r="B152" i="34"/>
  <c r="D153" i="20"/>
  <c r="E153" i="20" s="1"/>
  <c r="E145" i="13"/>
  <c r="F145" i="13" s="1"/>
  <c r="G144" i="13"/>
  <c r="A151" i="34" l="1"/>
  <c r="F153" i="20"/>
  <c r="D154" i="20" s="1"/>
  <c r="D146" i="13"/>
  <c r="G145" i="13"/>
  <c r="A152" i="34" l="1"/>
  <c r="E154" i="20"/>
  <c r="F154" i="20" s="1"/>
  <c r="D155" i="20" s="1"/>
  <c r="E155" i="20" s="1"/>
  <c r="F155" i="20" s="1"/>
  <c r="E146" i="13"/>
  <c r="F146" i="13" s="1"/>
  <c r="A153" i="34" l="1"/>
  <c r="B157" i="34" s="1"/>
  <c r="D156" i="20"/>
  <c r="D147" i="13"/>
  <c r="G146" i="13"/>
  <c r="A155" i="34" l="1"/>
  <c r="B155" i="34"/>
  <c r="B156" i="34"/>
  <c r="E147" i="13"/>
  <c r="F147" i="13" s="1"/>
  <c r="E156" i="20"/>
  <c r="F156" i="20" s="1"/>
  <c r="A156" i="34" l="1"/>
  <c r="D157" i="20"/>
  <c r="D148" i="13"/>
  <c r="G147" i="13"/>
  <c r="A157" i="34" l="1"/>
  <c r="E148" i="13"/>
  <c r="F148" i="13" s="1"/>
  <c r="E157" i="20"/>
  <c r="F157" i="20" s="1"/>
  <c r="D158" i="20" s="1"/>
  <c r="A159" i="34" l="1"/>
  <c r="A161" i="34" s="1"/>
  <c r="A162" i="34" s="1"/>
  <c r="A163" i="34" s="1"/>
  <c r="A166" i="34" s="1"/>
  <c r="D149" i="13"/>
  <c r="G148" i="13"/>
  <c r="E158" i="20"/>
  <c r="F158" i="20" s="1"/>
  <c r="D159" i="20" s="1"/>
  <c r="A167" i="34" l="1"/>
  <c r="B171" i="34"/>
  <c r="E159" i="20"/>
  <c r="F159" i="20" s="1"/>
  <c r="E149" i="13"/>
  <c r="F149" i="13" s="1"/>
  <c r="A168" i="34" l="1"/>
  <c r="B172" i="34"/>
  <c r="D160" i="20"/>
  <c r="E160" i="20" s="1"/>
  <c r="E161" i="20" s="1"/>
  <c r="D150" i="13"/>
  <c r="G149" i="13"/>
  <c r="A171" i="34" l="1"/>
  <c r="A172" i="34" s="1"/>
  <c r="A173" i="34" s="1"/>
  <c r="A174" i="34" s="1"/>
  <c r="A183" i="34" s="1"/>
  <c r="A184" i="34" s="1"/>
  <c r="A185" i="34" s="1"/>
  <c r="A186" i="34" s="1"/>
  <c r="A187" i="34" s="1"/>
  <c r="A188" i="34" s="1"/>
  <c r="B173" i="34"/>
  <c r="F160" i="20"/>
  <c r="E150" i="13"/>
  <c r="F150" i="13" s="1"/>
  <c r="D151" i="13" s="1"/>
  <c r="A190" i="34" l="1"/>
  <c r="B213" i="34"/>
  <c r="E151" i="13"/>
  <c r="F151" i="13" s="1"/>
  <c r="D152" i="13" s="1"/>
  <c r="G150" i="13"/>
  <c r="B187" i="34" l="1"/>
  <c r="A193" i="34"/>
  <c r="A194" i="34" s="1"/>
  <c r="A195" i="34" s="1"/>
  <c r="A196" i="34" s="1"/>
  <c r="A197" i="34" s="1"/>
  <c r="A198" i="34" s="1"/>
  <c r="A199" i="34" s="1"/>
  <c r="E152" i="13"/>
  <c r="F152" i="13" s="1"/>
  <c r="G151" i="13"/>
  <c r="A202" i="34" l="1"/>
  <c r="E242" i="2"/>
  <c r="B229" i="34"/>
  <c r="D153" i="13"/>
  <c r="G152" i="13"/>
  <c r="B207" i="34" l="1"/>
  <c r="A203" i="34"/>
  <c r="B214" i="34"/>
  <c r="E153" i="13"/>
  <c r="F153" i="13" s="1"/>
  <c r="B230" i="34" l="1"/>
  <c r="E243" i="2"/>
  <c r="A206" i="34"/>
  <c r="D154" i="13"/>
  <c r="G153" i="13"/>
  <c r="E245" i="2" l="1"/>
  <c r="A207" i="34"/>
  <c r="E154" i="13"/>
  <c r="F154" i="13" s="1"/>
  <c r="A208" i="34" l="1"/>
  <c r="E246" i="2"/>
  <c r="D155" i="13"/>
  <c r="G154" i="13"/>
  <c r="A209" i="34" l="1"/>
  <c r="E247" i="2"/>
  <c r="E155" i="13"/>
  <c r="F155" i="13" s="1"/>
  <c r="D156" i="13" s="1"/>
  <c r="A210" i="34" l="1"/>
  <c r="E248" i="2"/>
  <c r="G155" i="13"/>
  <c r="E156" i="13"/>
  <c r="F156" i="13" s="1"/>
  <c r="B215" i="34" l="1"/>
  <c r="A213" i="34"/>
  <c r="D157" i="13"/>
  <c r="G156" i="13"/>
  <c r="D252" i="2" l="1"/>
  <c r="A214" i="34"/>
  <c r="E157" i="13"/>
  <c r="F157" i="13" s="1"/>
  <c r="A215" i="34" l="1"/>
  <c r="D253" i="2"/>
  <c r="D158" i="13"/>
  <c r="G157" i="13"/>
  <c r="A216" i="34" l="1"/>
  <c r="B220" i="34" s="1"/>
  <c r="D254" i="2"/>
  <c r="E158" i="13"/>
  <c r="F158" i="13" s="1"/>
  <c r="A218" i="34" l="1"/>
  <c r="D255" i="2"/>
  <c r="B218" i="34"/>
  <c r="B219" i="34"/>
  <c r="D159" i="13"/>
  <c r="G158" i="13"/>
  <c r="A219" i="34" l="1"/>
  <c r="E159" i="13"/>
  <c r="E160" i="13" s="1"/>
  <c r="A220" i="34" l="1"/>
  <c r="F159" i="13"/>
  <c r="G159" i="13" s="1"/>
  <c r="A222" i="34" l="1"/>
  <c r="A224" i="34" s="1"/>
  <c r="A225" i="34" s="1"/>
  <c r="A226" i="34" s="1"/>
  <c r="A229" i="34" s="1"/>
  <c r="A230" i="34" l="1"/>
  <c r="B234" i="34"/>
  <c r="A231" i="34" l="1"/>
  <c r="B235" i="34"/>
  <c r="A234" i="34" l="1"/>
  <c r="A235" i="34" s="1"/>
  <c r="A236" i="34" s="1"/>
  <c r="A237" i="34" s="1"/>
  <c r="B236" i="34"/>
  <c r="E81" i="31" l="1"/>
  <c r="E37" i="11" s="1"/>
  <c r="K37" i="11" s="1"/>
  <c r="F70" i="9" l="1"/>
  <c r="E67" i="9" l="1"/>
  <c r="F72" i="9"/>
  <c r="G145" i="2" s="1"/>
  <c r="L145" i="2" s="1"/>
  <c r="E70" i="9"/>
  <c r="E68" i="9"/>
  <c r="E69" i="9"/>
  <c r="D72" i="9" l="1"/>
  <c r="G140" i="2" s="1"/>
  <c r="E72" i="9"/>
  <c r="L42" i="2" l="1"/>
  <c r="L43" i="2" l="1"/>
  <c r="D33" i="9" l="1"/>
  <c r="G131" i="2" s="1"/>
  <c r="D44" i="9" l="1"/>
  <c r="G138" i="2" s="1"/>
  <c r="D64" i="9"/>
  <c r="G139" i="2" s="1"/>
  <c r="L41" i="2"/>
  <c r="G134" i="2"/>
  <c r="L45" i="2" l="1"/>
  <c r="G141" i="2"/>
  <c r="L141" i="2" s="1"/>
  <c r="F64" i="9"/>
  <c r="G144" i="2" s="1"/>
  <c r="L144" i="2" s="1"/>
  <c r="F44" i="9"/>
  <c r="G143" i="2" s="1"/>
  <c r="L143" i="2" s="1"/>
  <c r="L134" i="2"/>
  <c r="L100" i="2" s="1"/>
  <c r="G100" i="2"/>
  <c r="L147" i="2" l="1"/>
  <c r="L149" i="2" s="1"/>
  <c r="L151" i="2" s="1"/>
  <c r="G147" i="2"/>
  <c r="G149" i="2" s="1"/>
  <c r="G151" i="2" s="1"/>
  <c r="E64" i="9"/>
  <c r="E44" i="9"/>
  <c r="I40" i="6" l="1"/>
  <c r="K40" i="6" s="1"/>
  <c r="E40" i="6" s="1"/>
  <c r="I39" i="6" l="1"/>
  <c r="D55" i="6"/>
  <c r="D29" i="6" s="1"/>
  <c r="I64" i="6"/>
  <c r="K64" i="6" s="1"/>
  <c r="E64" i="6" s="1"/>
  <c r="E79" i="6" s="1"/>
  <c r="E30" i="6" s="1"/>
  <c r="I63" i="6" l="1"/>
  <c r="D79" i="6"/>
  <c r="D30" i="6" s="1"/>
  <c r="D31" i="6" s="1"/>
  <c r="K39" i="6"/>
  <c r="I55" i="6"/>
  <c r="I29" i="6" s="1"/>
  <c r="K55" i="6" l="1"/>
  <c r="K29" i="6" s="1"/>
  <c r="E39" i="6"/>
  <c r="E55" i="6" s="1"/>
  <c r="E29" i="6" s="1"/>
  <c r="E31" i="6" s="1"/>
  <c r="G107" i="2" s="1"/>
  <c r="L107" i="2" s="1"/>
  <c r="I79" i="6"/>
  <c r="I30" i="6" s="1"/>
  <c r="I31" i="6" s="1"/>
  <c r="G105" i="2" s="1"/>
  <c r="K63" i="6"/>
  <c r="K79" i="6" s="1"/>
  <c r="K30" i="6" s="1"/>
  <c r="K31" i="6" l="1"/>
  <c r="L105" i="2"/>
  <c r="L108" i="2" s="1"/>
  <c r="L112" i="2" s="1"/>
  <c r="G108" i="2"/>
  <c r="G112" i="2" s="1"/>
  <c r="G183" i="2" s="1"/>
  <c r="G177" i="2" s="1"/>
  <c r="G181" i="2" s="1"/>
  <c r="L183" i="2" l="1"/>
  <c r="F28" i="20"/>
  <c r="F30" i="20" s="1"/>
  <c r="E28" i="13"/>
  <c r="E30" i="13" s="1"/>
  <c r="F56" i="13" l="1"/>
  <c r="E34" i="13"/>
  <c r="E36" i="13" s="1"/>
  <c r="E40" i="13" s="1"/>
  <c r="F57" i="13" s="1"/>
  <c r="G56" i="20"/>
  <c r="F34" i="20"/>
  <c r="F36" i="20" s="1"/>
  <c r="F40" i="20" s="1"/>
  <c r="L177" i="2"/>
  <c r="L181" i="2" s="1"/>
  <c r="F50" i="13" s="1"/>
  <c r="G49" i="20"/>
  <c r="F49" i="13"/>
  <c r="G50" i="20" l="1"/>
  <c r="G57" i="20"/>
  <c r="E69" i="31" l="1"/>
  <c r="E36" i="11" s="1"/>
  <c r="K36" i="11" s="1"/>
  <c r="J21" i="8" l="1"/>
  <c r="J27" i="8" s="1"/>
  <c r="J31" i="8" s="1"/>
  <c r="I27" i="8"/>
  <c r="I31" i="8" s="1"/>
  <c r="E98" i="31" l="1"/>
  <c r="I31" i="31"/>
  <c r="I30" i="31" s="1"/>
  <c r="E30" i="31"/>
  <c r="E95" i="31" l="1"/>
  <c r="E40" i="11" s="1"/>
  <c r="M40" i="11" s="1"/>
  <c r="E89" i="31"/>
  <c r="E39" i="11" s="1"/>
  <c r="M39" i="11" s="1"/>
  <c r="E86" i="31"/>
  <c r="E38" i="11" s="1"/>
  <c r="K38" i="11" s="1"/>
  <c r="E65" i="31"/>
  <c r="E35" i="11" s="1"/>
  <c r="K35" i="11" s="1"/>
  <c r="E62" i="31"/>
  <c r="E34" i="11" s="1"/>
  <c r="M34" i="11" s="1"/>
  <c r="E59" i="31"/>
  <c r="E31" i="11" s="1"/>
  <c r="M31" i="11" s="1"/>
  <c r="E54" i="31"/>
  <c r="E28" i="11" s="1"/>
  <c r="I28" i="11" s="1"/>
  <c r="E52" i="31"/>
  <c r="E27" i="11" s="1"/>
  <c r="I27" i="11" s="1"/>
  <c r="E50" i="31"/>
  <c r="E26" i="11" s="1"/>
  <c r="I26" i="11" s="1"/>
  <c r="E21" i="11"/>
  <c r="G21" i="11" s="1"/>
  <c r="K43" i="11" l="1"/>
  <c r="G165" i="2" s="1"/>
  <c r="L165" i="2" s="1"/>
  <c r="I43" i="11"/>
  <c r="G161" i="2" s="1"/>
  <c r="L161" i="2" s="1"/>
  <c r="E37" i="31"/>
  <c r="I38" i="31"/>
  <c r="I37" i="31" s="1"/>
  <c r="E14" i="31" l="1"/>
  <c r="E17" i="11" s="1"/>
  <c r="M17" i="11" s="1"/>
  <c r="M43" i="11" s="1"/>
  <c r="G164" i="2" s="1"/>
  <c r="L164" i="2" s="1"/>
  <c r="E22" i="11"/>
  <c r="G22" i="11" s="1"/>
  <c r="E101" i="31"/>
  <c r="E23" i="31"/>
  <c r="I24" i="31"/>
  <c r="I23" i="31" s="1"/>
  <c r="I22" i="31" s="1"/>
  <c r="L163" i="2" s="1"/>
  <c r="F101" i="31" l="1"/>
  <c r="L166" i="2"/>
  <c r="L191" i="2" s="1"/>
  <c r="L13" i="2" s="1"/>
  <c r="E20" i="11"/>
  <c r="E22" i="31"/>
  <c r="G163" i="2" s="1"/>
  <c r="G166" i="2" s="1"/>
  <c r="G191" i="2" s="1"/>
  <c r="G47" i="20" l="1"/>
  <c r="G51" i="20" s="1"/>
  <c r="G55" i="20" s="1"/>
  <c r="G58" i="20" s="1"/>
  <c r="G60" i="20" s="1"/>
  <c r="G68" i="20" s="1"/>
  <c r="G69" i="20" s="1"/>
  <c r="L31" i="2"/>
  <c r="F70" i="13" s="1"/>
  <c r="J95" i="13" s="1"/>
  <c r="L27" i="2"/>
  <c r="L28" i="2" s="1"/>
  <c r="L18" i="2"/>
  <c r="F47" i="13"/>
  <c r="F51" i="13" s="1"/>
  <c r="F55" i="13" s="1"/>
  <c r="F58" i="13" s="1"/>
  <c r="F65" i="13" s="1"/>
  <c r="F66" i="13" s="1"/>
  <c r="L34" i="2"/>
  <c r="G20" i="11"/>
  <c r="G43" i="11" s="1"/>
  <c r="E43" i="11"/>
  <c r="G65" i="20" l="1"/>
  <c r="G66" i="20" s="1"/>
  <c r="F60" i="13"/>
  <c r="F68" i="13" s="1"/>
  <c r="F69" i="13" s="1"/>
  <c r="F71" i="13" s="1"/>
  <c r="G70" i="20"/>
  <c r="I96" i="20" s="1"/>
  <c r="G115" i="20" s="1"/>
  <c r="H123" i="13"/>
  <c r="H127" i="13"/>
  <c r="H107" i="13"/>
  <c r="H143" i="13"/>
  <c r="H126" i="13"/>
  <c r="H148" i="13"/>
  <c r="H139" i="13"/>
  <c r="H103" i="13"/>
  <c r="J96" i="13"/>
  <c r="H159" i="13"/>
  <c r="H112" i="13"/>
  <c r="H129" i="13"/>
  <c r="H153" i="13"/>
  <c r="H121" i="13"/>
  <c r="H146" i="13"/>
  <c r="H156" i="13"/>
  <c r="H124" i="13"/>
  <c r="H125" i="13"/>
  <c r="H100" i="13"/>
  <c r="H119" i="13"/>
  <c r="H134" i="13"/>
  <c r="H130" i="13"/>
  <c r="H108" i="13"/>
  <c r="H113" i="13"/>
  <c r="H131" i="13"/>
  <c r="H111" i="13"/>
  <c r="H149" i="13"/>
  <c r="H157" i="13"/>
  <c r="H145" i="13"/>
  <c r="H120" i="13"/>
  <c r="H132" i="13"/>
  <c r="H110" i="13"/>
  <c r="H151" i="13"/>
  <c r="H115" i="13"/>
  <c r="H138" i="13"/>
  <c r="H106" i="13"/>
  <c r="H109" i="13"/>
  <c r="H122" i="13"/>
  <c r="H137" i="13"/>
  <c r="H141" i="13"/>
  <c r="H154" i="13"/>
  <c r="H147" i="13"/>
  <c r="H155" i="13"/>
  <c r="H133" i="13"/>
  <c r="H152" i="13"/>
  <c r="H128" i="13"/>
  <c r="H140" i="13"/>
  <c r="H102" i="13"/>
  <c r="H118" i="13"/>
  <c r="H117" i="13"/>
  <c r="H136" i="13"/>
  <c r="H105" i="13"/>
  <c r="H144" i="13"/>
  <c r="H101" i="13"/>
  <c r="H135" i="13"/>
  <c r="H116" i="13"/>
  <c r="H114" i="13"/>
  <c r="H104" i="13"/>
  <c r="H150" i="13"/>
  <c r="H142" i="13"/>
  <c r="H158" i="13"/>
  <c r="G130" i="20" l="1"/>
  <c r="G157" i="20"/>
  <c r="G125" i="20"/>
  <c r="G152" i="20"/>
  <c r="G112" i="20"/>
  <c r="G102" i="20"/>
  <c r="G117" i="20"/>
  <c r="G145" i="20"/>
  <c r="G140" i="20"/>
  <c r="G118" i="20"/>
  <c r="G149" i="20"/>
  <c r="G126" i="20"/>
  <c r="G120" i="20"/>
  <c r="G138" i="20"/>
  <c r="G137" i="20"/>
  <c r="G156" i="20"/>
  <c r="G104" i="20"/>
  <c r="G116" i="20"/>
  <c r="G111" i="20"/>
  <c r="G108" i="20"/>
  <c r="G107" i="20"/>
  <c r="G132" i="20"/>
  <c r="I97" i="20"/>
  <c r="H115" i="20" s="1"/>
  <c r="I115" i="20" s="1"/>
  <c r="G127" i="20"/>
  <c r="G131" i="20"/>
  <c r="G109" i="20"/>
  <c r="G146" i="20"/>
  <c r="G148" i="20"/>
  <c r="G154" i="20"/>
  <c r="G142" i="20"/>
  <c r="G71" i="20"/>
  <c r="G122" i="20"/>
  <c r="G114" i="20"/>
  <c r="G101" i="20"/>
  <c r="G158" i="20"/>
  <c r="G150" i="20"/>
  <c r="G110" i="20"/>
  <c r="G143" i="20"/>
  <c r="G121" i="20"/>
  <c r="G113" i="20"/>
  <c r="G129" i="20"/>
  <c r="G135" i="20"/>
  <c r="G119" i="20"/>
  <c r="G153" i="20"/>
  <c r="G124" i="20"/>
  <c r="G141" i="20"/>
  <c r="G159" i="20"/>
  <c r="G155" i="20"/>
  <c r="G139" i="20"/>
  <c r="G105" i="20"/>
  <c r="G106" i="20"/>
  <c r="G144" i="20"/>
  <c r="G147" i="20"/>
  <c r="G123" i="20"/>
  <c r="G151" i="20"/>
  <c r="G103" i="20"/>
  <c r="G134" i="20"/>
  <c r="G133" i="20"/>
  <c r="G160" i="20"/>
  <c r="G136" i="20"/>
  <c r="G128" i="20"/>
  <c r="H160" i="13"/>
  <c r="I117" i="13"/>
  <c r="J117" i="13" s="1"/>
  <c r="I102" i="13"/>
  <c r="J102" i="13" s="1"/>
  <c r="I159" i="13"/>
  <c r="J159" i="13" s="1"/>
  <c r="I127" i="13"/>
  <c r="J127" i="13" s="1"/>
  <c r="I111" i="13"/>
  <c r="J111" i="13" s="1"/>
  <c r="I124" i="13"/>
  <c r="J124" i="13" s="1"/>
  <c r="I106" i="13"/>
  <c r="J106" i="13" s="1"/>
  <c r="I149" i="13"/>
  <c r="J149" i="13" s="1"/>
  <c r="I128" i="13"/>
  <c r="J128" i="13" s="1"/>
  <c r="I125" i="13"/>
  <c r="J125" i="13" s="1"/>
  <c r="I122" i="13"/>
  <c r="J122" i="13" s="1"/>
  <c r="I147" i="13"/>
  <c r="J147" i="13" s="1"/>
  <c r="I126" i="13"/>
  <c r="J126" i="13" s="1"/>
  <c r="I109" i="13"/>
  <c r="J109" i="13" s="1"/>
  <c r="I141" i="13"/>
  <c r="J141" i="13" s="1"/>
  <c r="I100" i="13"/>
  <c r="I103" i="13"/>
  <c r="J103" i="13" s="1"/>
  <c r="I119" i="13"/>
  <c r="J119" i="13" s="1"/>
  <c r="I146" i="13"/>
  <c r="J146" i="13" s="1"/>
  <c r="I108" i="13"/>
  <c r="J108" i="13" s="1"/>
  <c r="I136" i="13"/>
  <c r="J136" i="13" s="1"/>
  <c r="I148" i="13"/>
  <c r="J148" i="13" s="1"/>
  <c r="I105" i="13"/>
  <c r="J105" i="13" s="1"/>
  <c r="I145" i="13"/>
  <c r="J145" i="13" s="1"/>
  <c r="I107" i="13"/>
  <c r="J107" i="13" s="1"/>
  <c r="I139" i="13"/>
  <c r="J139" i="13" s="1"/>
  <c r="I157" i="13"/>
  <c r="J157" i="13" s="1"/>
  <c r="I142" i="13"/>
  <c r="J142" i="13" s="1"/>
  <c r="I130" i="13"/>
  <c r="J130" i="13" s="1"/>
  <c r="I156" i="13"/>
  <c r="J156" i="13" s="1"/>
  <c r="I152" i="13"/>
  <c r="J152" i="13" s="1"/>
  <c r="I151" i="13"/>
  <c r="J151" i="13" s="1"/>
  <c r="I158" i="13"/>
  <c r="J158" i="13" s="1"/>
  <c r="I153" i="13"/>
  <c r="J153" i="13" s="1"/>
  <c r="I123" i="13"/>
  <c r="J123" i="13" s="1"/>
  <c r="I110" i="13"/>
  <c r="J110" i="13" s="1"/>
  <c r="I133" i="13"/>
  <c r="J133" i="13" s="1"/>
  <c r="I138" i="13"/>
  <c r="J138" i="13" s="1"/>
  <c r="I112" i="13"/>
  <c r="J112" i="13" s="1"/>
  <c r="I132" i="13"/>
  <c r="J132" i="13" s="1"/>
  <c r="I116" i="13"/>
  <c r="J116" i="13" s="1"/>
  <c r="I135" i="13"/>
  <c r="J135" i="13" s="1"/>
  <c r="I104" i="13"/>
  <c r="J104" i="13" s="1"/>
  <c r="I120" i="13"/>
  <c r="J120" i="13" s="1"/>
  <c r="I113" i="13"/>
  <c r="J113" i="13" s="1"/>
  <c r="I129" i="13"/>
  <c r="J129" i="13" s="1"/>
  <c r="I155" i="13"/>
  <c r="J155" i="13" s="1"/>
  <c r="I140" i="13"/>
  <c r="J140" i="13" s="1"/>
  <c r="I137" i="13"/>
  <c r="J137" i="13" s="1"/>
  <c r="I118" i="13"/>
  <c r="J118" i="13" s="1"/>
  <c r="I144" i="13"/>
  <c r="J144" i="13" s="1"/>
  <c r="I101" i="13"/>
  <c r="J101" i="13" s="1"/>
  <c r="I150" i="13"/>
  <c r="J150" i="13" s="1"/>
  <c r="I114" i="13"/>
  <c r="J114" i="13" s="1"/>
  <c r="I115" i="13"/>
  <c r="J115" i="13" s="1"/>
  <c r="I121" i="13"/>
  <c r="J121" i="13" s="1"/>
  <c r="I154" i="13"/>
  <c r="J154" i="13" s="1"/>
  <c r="I131" i="13"/>
  <c r="J131" i="13" s="1"/>
  <c r="I134" i="13"/>
  <c r="J134" i="13" s="1"/>
  <c r="I143" i="13"/>
  <c r="J143" i="13" s="1"/>
  <c r="H112" i="20" l="1"/>
  <c r="I112" i="20" s="1"/>
  <c r="H142" i="20"/>
  <c r="H109" i="20"/>
  <c r="I109" i="20" s="1"/>
  <c r="H122" i="20"/>
  <c r="I122" i="20" s="1"/>
  <c r="H125" i="20"/>
  <c r="I125" i="20" s="1"/>
  <c r="H140" i="20"/>
  <c r="I140" i="20" s="1"/>
  <c r="H120" i="20"/>
  <c r="I120" i="20" s="1"/>
  <c r="H143" i="20"/>
  <c r="I143" i="20" s="1"/>
  <c r="H139" i="20"/>
  <c r="I139" i="20" s="1"/>
  <c r="H135" i="20"/>
  <c r="I135" i="20" s="1"/>
  <c r="H126" i="20"/>
  <c r="I126" i="20" s="1"/>
  <c r="H117" i="20"/>
  <c r="I117" i="20" s="1"/>
  <c r="H159" i="20"/>
  <c r="I159" i="20" s="1"/>
  <c r="H102" i="20"/>
  <c r="I102" i="20" s="1"/>
  <c r="H106" i="20"/>
  <c r="I106" i="20" s="1"/>
  <c r="H124" i="20"/>
  <c r="I124" i="20" s="1"/>
  <c r="H101" i="20"/>
  <c r="I101" i="20" s="1"/>
  <c r="H104" i="20"/>
  <c r="I104" i="20" s="1"/>
  <c r="H118" i="20"/>
  <c r="I118" i="20" s="1"/>
  <c r="H146" i="20"/>
  <c r="I146" i="20" s="1"/>
  <c r="H111" i="20"/>
  <c r="I111" i="20" s="1"/>
  <c r="H149" i="20"/>
  <c r="I149" i="20" s="1"/>
  <c r="H129" i="20"/>
  <c r="I129" i="20" s="1"/>
  <c r="H121" i="20"/>
  <c r="I121" i="20" s="1"/>
  <c r="H133" i="20"/>
  <c r="I133" i="20" s="1"/>
  <c r="H134" i="20"/>
  <c r="I134" i="20" s="1"/>
  <c r="H147" i="20"/>
  <c r="I147" i="20" s="1"/>
  <c r="H137" i="20"/>
  <c r="I137" i="20" s="1"/>
  <c r="H141" i="20"/>
  <c r="I141" i="20" s="1"/>
  <c r="H145" i="20"/>
  <c r="I145" i="20" s="1"/>
  <c r="H151" i="20"/>
  <c r="I151" i="20" s="1"/>
  <c r="H110" i="20"/>
  <c r="I110" i="20" s="1"/>
  <c r="H131" i="20"/>
  <c r="I131" i="20" s="1"/>
  <c r="H138" i="20"/>
  <c r="I138" i="20" s="1"/>
  <c r="H153" i="20"/>
  <c r="I153" i="20" s="1"/>
  <c r="H116" i="20"/>
  <c r="I116" i="20" s="1"/>
  <c r="H114" i="20"/>
  <c r="I114" i="20" s="1"/>
  <c r="H107" i="20"/>
  <c r="I107" i="20" s="1"/>
  <c r="H157" i="20"/>
  <c r="I157" i="20" s="1"/>
  <c r="H105" i="20"/>
  <c r="I105" i="20" s="1"/>
  <c r="H123" i="20"/>
  <c r="I123" i="20" s="1"/>
  <c r="H160" i="20"/>
  <c r="I160" i="20" s="1"/>
  <c r="H130" i="20"/>
  <c r="I130" i="20" s="1"/>
  <c r="H103" i="20"/>
  <c r="I103" i="20" s="1"/>
  <c r="H136" i="20"/>
  <c r="I136" i="20" s="1"/>
  <c r="H144" i="20"/>
  <c r="I144" i="20" s="1"/>
  <c r="H128" i="20"/>
  <c r="I128" i="20" s="1"/>
  <c r="H155" i="20"/>
  <c r="I155" i="20" s="1"/>
  <c r="H158" i="20"/>
  <c r="I158" i="20" s="1"/>
  <c r="H132" i="20"/>
  <c r="I132" i="20" s="1"/>
  <c r="H148" i="20"/>
  <c r="I148" i="20" s="1"/>
  <c r="H154" i="20"/>
  <c r="I154" i="20" s="1"/>
  <c r="H150" i="20"/>
  <c r="I150" i="20" s="1"/>
  <c r="H152" i="20"/>
  <c r="I152" i="20" s="1"/>
  <c r="H156" i="20"/>
  <c r="I156" i="20" s="1"/>
  <c r="H127" i="20"/>
  <c r="I127" i="20" s="1"/>
  <c r="H108" i="20"/>
  <c r="I108" i="20" s="1"/>
  <c r="H119" i="20"/>
  <c r="I119" i="20" s="1"/>
  <c r="H113" i="20"/>
  <c r="I113" i="20" s="1"/>
  <c r="G161" i="20"/>
  <c r="I142" i="20"/>
  <c r="J100" i="13"/>
  <c r="J160" i="13" s="1"/>
  <c r="I160" i="13"/>
  <c r="H161" i="20" l="1"/>
  <c r="I161" i="20"/>
</calcChain>
</file>

<file path=xl/sharedStrings.xml><?xml version="1.0" encoding="utf-8"?>
<sst xmlns="http://schemas.openxmlformats.org/spreadsheetml/2006/main" count="1808" uniqueCount="985">
  <si>
    <t>Other Adjustments</t>
  </si>
  <si>
    <t xml:space="preserve">           Acct. 928 - Transmission Specific</t>
  </si>
  <si>
    <t>FERC FORM 1</t>
  </si>
  <si>
    <t>Tie-Back</t>
  </si>
  <si>
    <t>FERC FORM 1 Reference</t>
  </si>
  <si>
    <t xml:space="preserve">NOTE 1: The detail of each total company number and its source in the FERC Form 1 is shown on WS H-1. </t>
  </si>
  <si>
    <t>In order to calculate the proper monthly RTEP billing amount, PJM requires a 12 month revenue requirement for each RTEP project.  As a result, notwithstanding the fact that the project was in service for a partial year, the project revenue requirement in the year that the project goes into service has been annualized (shown at the full-year level) so that PJM will collect the correct monthly billings.</t>
  </si>
  <si>
    <t>General Plant and Administrative &amp; General expenses, other than in accounts 924, 928, and 930, will be functionalized  based on the Wages &amp; Salaries "W/S" allocator. The allocation basis for accounts 924, 928 and 930 are separately presented in the formula. A change in the allocation method for an account must be approved via a 205 filing with the FERC.</t>
  </si>
  <si>
    <t>FF1, page 219, ln 28, Col. (b)</t>
  </si>
  <si>
    <t xml:space="preserve">Account 450, Forfeited Discounts  (FF1 p.300.16.(b); Company Records - Note 1) </t>
  </si>
  <si>
    <t xml:space="preserve">Account 451,Miscellaneous Service Revenues  (FF1 p.300.17.(b); Company Records - Note 1) </t>
  </si>
  <si>
    <t xml:space="preserve">Account 454, Rent from Electric Property (FF1 p.300.19.(b); Company Records - Note 1) </t>
  </si>
  <si>
    <r>
      <t>Accounts  4470004 &amp; 5, Revenues from Grandfathered Transmission Contracts</t>
    </r>
    <r>
      <rPr>
        <b/>
        <sz val="10"/>
        <rFont val="Arial"/>
        <family val="2"/>
      </rPr>
      <t xml:space="preserve"> - (Company Records - Note 1)</t>
    </r>
  </si>
  <si>
    <t xml:space="preserve">**  This is the total amount that needs to be reported to PJM for billing to all regions. </t>
  </si>
  <si>
    <r>
      <t xml:space="preserve">## </t>
    </r>
    <r>
      <rPr>
        <b/>
        <sz val="10"/>
        <rFont val="Arial"/>
        <family val="2"/>
      </rPr>
      <t>This is the calculation of  additional incentive revenue on projects deemed by the FERC to be eligible for an incentive return.  This</t>
    </r>
  </si>
  <si>
    <t>Requirement ##</t>
  </si>
  <si>
    <t>Note: Gain or loss on plant held for future are recorded in accounts 411.6 or 411.7 respectiviely.  Sales will be funtionalized based on the description of that asset. Sales of transmission assets will be direct assigned; sales of general assets will be functionalized on labor.  Sales of plant held for future use related to generation or distribution will not be included in the formula.</t>
  </si>
  <si>
    <t>Senior Unsecured Notes (112.21.c&amp;d) Excludes Spent Nuc Fuel Disp Fund</t>
  </si>
  <si>
    <t>the percentage of federal income tax deductible for state income taxes.  See Worksheet G for the development of the Company's composite SIT.</t>
  </si>
  <si>
    <t>A utility that elected to utilize amortization of tax credits against taxable income, rather than book tax credits to Account No. 255 and reduce rate base, must reduce its income tax</t>
  </si>
  <si>
    <t>expense by the amount of the Amortized Investment Tax Credit (Form 1, 266.8.f)</t>
  </si>
  <si>
    <t>Regulatory Assets and Liabilities Approved for Recovery In Ratebase</t>
  </si>
  <si>
    <t xml:space="preserve"> Worksheet E Supporting Revenue Credits</t>
  </si>
  <si>
    <t>LT Advances from Assoc. Companies  (112.20.c&amp;d)</t>
  </si>
  <si>
    <t xml:space="preserve"> Worksheet N - Gains (Losses) on Sales of Plant Held For Future Use</t>
  </si>
  <si>
    <t xml:space="preserve">           Acct 930.1 - Only safety related ads -Direct</t>
  </si>
  <si>
    <t xml:space="preserve">           Acct 930.2 - Misc Gen. Exp. - Trans</t>
  </si>
  <si>
    <t>Development of Common Stock:</t>
  </si>
  <si>
    <t xml:space="preserve">Proprietary Capital </t>
  </si>
  <si>
    <t>Common Stock</t>
  </si>
  <si>
    <t>The total-company balances shown for Accounts 281, 282, 283, 190 only reflect ADIT that relates to utility operations. The balance of Account 255 is reduced by prior flow</t>
  </si>
  <si>
    <t>N</t>
  </si>
  <si>
    <t xml:space="preserve">  Customer Related Expense</t>
  </si>
  <si>
    <t>PLANT</t>
  </si>
  <si>
    <t>ACCT.</t>
  </si>
  <si>
    <t>RATES</t>
  </si>
  <si>
    <t xml:space="preserve"> TRANSMISSION PLANT</t>
  </si>
  <si>
    <t>Composite Depreciation (Ln 3 / Ln 4)</t>
  </si>
  <si>
    <t xml:space="preserve">  Regional Marketing Expenses</t>
  </si>
  <si>
    <t>TOTAL O&amp;M EXPENSES</t>
  </si>
  <si>
    <t xml:space="preserve">TOTAL REVENUE REQUIREMENT </t>
  </si>
  <si>
    <t xml:space="preserve">  Annual Rate</t>
  </si>
  <si>
    <t xml:space="preserve">  Monthly Rate</t>
  </si>
  <si>
    <t xml:space="preserve">   Project ROE Incentive Adder</t>
  </si>
  <si>
    <t>Weighted cost</t>
  </si>
  <si>
    <t>Rev Require</t>
  </si>
  <si>
    <t xml:space="preserve"> W Incentives</t>
  </si>
  <si>
    <t>Incentive Amounts</t>
  </si>
  <si>
    <t>Long Term Debt</t>
  </si>
  <si>
    <t>Preferred Stock</t>
  </si>
  <si>
    <t>R =</t>
  </si>
  <si>
    <t>PROJECTED YEAR</t>
  </si>
  <si>
    <t xml:space="preserve">   R   (fom A. above)</t>
  </si>
  <si>
    <t xml:space="preserve">   Return (Rate Base  x  R)</t>
  </si>
  <si>
    <t xml:space="preserve">   Return   (from B. above)</t>
  </si>
  <si>
    <t xml:space="preserve">   Income Tax Calculation  (Return  x  CIT)</t>
  </si>
  <si>
    <t xml:space="preserve">   Income Taxes</t>
  </si>
  <si>
    <r>
      <t>NOTE:  The balance of fair value hedges on outstanding long term debt are to be excluded from the balance of long term debt included in the formula's capital structure. (</t>
    </r>
    <r>
      <rPr>
        <sz val="10"/>
        <color indexed="17"/>
        <rFont val="Arial"/>
        <family val="2"/>
      </rPr>
      <t>p. 257,</t>
    </r>
    <r>
      <rPr>
        <sz val="10"/>
        <rFont val="Arial"/>
        <family val="2"/>
      </rPr>
      <t xml:space="preserve"> Column H of the FF1)</t>
    </r>
  </si>
  <si>
    <r>
      <t>NOTE:  The balance of fair value hedges on outstanding long term debt are to be excluded from the balance of long term debt included in the formula's capital structure. (</t>
    </r>
    <r>
      <rPr>
        <sz val="10"/>
        <color indexed="17"/>
        <rFont val="Arial"/>
        <family val="2"/>
      </rPr>
      <t xml:space="preserve">p. 257, </t>
    </r>
    <r>
      <rPr>
        <sz val="10"/>
        <rFont val="Arial"/>
        <family val="2"/>
      </rPr>
      <t>Column H of the FF1)</t>
    </r>
  </si>
  <si>
    <t>Total Long Term Debt Balance</t>
  </si>
  <si>
    <t>LTD Interest Expense</t>
  </si>
  <si>
    <t>ACTUAL WEIGHTED AVG COST OF CAPITAL</t>
  </si>
  <si>
    <t xml:space="preserve">   Income Taxes  (from I.C. above)</t>
  </si>
  <si>
    <t>Calculation of Composite Depreciation Rate</t>
  </si>
  <si>
    <t>Composite Depreciation Rate</t>
  </si>
  <si>
    <t>Depreciable Life for Composite Depreciation Rate</t>
  </si>
  <si>
    <t xml:space="preserve">   (e.g. ER05-925-000)</t>
  </si>
  <si>
    <t>Investment</t>
  </si>
  <si>
    <t>Current Year</t>
  </si>
  <si>
    <t>TRUE UP OF PROJECT REVENUE REQUIREMENT FOR PRIOR YEAR:</t>
  </si>
  <si>
    <t>Service Year (yyyy)</t>
  </si>
  <si>
    <t>ROE increase accepted by FERC (Basis Points)</t>
  </si>
  <si>
    <t>Service Month (1-12)</t>
  </si>
  <si>
    <t>FCR w/o incentives, less depreciation</t>
  </si>
  <si>
    <t>Useful life</t>
  </si>
  <si>
    <t>FCR w/incentives approved for these facilities, less dep.</t>
  </si>
  <si>
    <t>CIAC (Yes or No)</t>
  </si>
  <si>
    <t>Annual Depreciation Expense</t>
  </si>
  <si>
    <t>Beginning</t>
  </si>
  <si>
    <t>Depreciation</t>
  </si>
  <si>
    <t>Ending</t>
  </si>
  <si>
    <t>True-up of Incentive</t>
  </si>
  <si>
    <t xml:space="preserve">w/o Incentives </t>
  </si>
  <si>
    <t>Project Totals</t>
  </si>
  <si>
    <t xml:space="preserve">should be incremented by the amount of the incentive revenue calculated for that year on this project. </t>
  </si>
  <si>
    <t>Determine the Revenue Requirement, and Additional Revenue Requirement for facilities receiving incentives.</t>
  </si>
  <si>
    <t>A. Base Plan Facilities</t>
  </si>
  <si>
    <t>Facilities receiving incentives accepted by FERC in Docket No.</t>
  </si>
  <si>
    <t>Project Description:</t>
  </si>
  <si>
    <t>Details</t>
  </si>
  <si>
    <t>Incentive Rev.</t>
  </si>
  <si>
    <t>Current Projected Year ARR</t>
  </si>
  <si>
    <t>Current Projected Year ARR w/ Incentive</t>
  </si>
  <si>
    <t>w/o Incentives</t>
  </si>
  <si>
    <r>
      <t xml:space="preserve">   Return   (from </t>
    </r>
    <r>
      <rPr>
        <sz val="10"/>
        <rFont val="MS Serif"/>
        <family val="1"/>
      </rPr>
      <t>I</t>
    </r>
    <r>
      <rPr>
        <sz val="10"/>
        <rFont val="Arial"/>
        <family val="2"/>
      </rPr>
      <t>.B. above)</t>
    </r>
  </si>
  <si>
    <r>
      <t>with Incentives</t>
    </r>
    <r>
      <rPr>
        <b/>
        <sz val="10"/>
        <color indexed="10"/>
        <rFont val="Arial"/>
        <family val="2"/>
      </rPr>
      <t xml:space="preserve"> **</t>
    </r>
  </si>
  <si>
    <t>TOTAL DEPRECIATION AND AMORTIZATI0N</t>
  </si>
  <si>
    <t xml:space="preserve">   ITC Adjustment  </t>
  </si>
  <si>
    <t>(Note D)</t>
  </si>
  <si>
    <t>O</t>
  </si>
  <si>
    <t>The company will not include the ADIT portion of deferred hedge gains and losses in rate base.</t>
  </si>
  <si>
    <t xml:space="preserve">  Prepayments (Account 165) - Transmission Only</t>
  </si>
  <si>
    <t>Account</t>
  </si>
  <si>
    <t>Gross Receipts Tax</t>
  </si>
  <si>
    <t>Federal Excise Tax</t>
  </si>
  <si>
    <t xml:space="preserve">________ Tax Rate </t>
  </si>
  <si>
    <t>Property</t>
  </si>
  <si>
    <t>Non-Allocable</t>
  </si>
  <si>
    <t xml:space="preserve"> Total Taxes by Allocable Basis</t>
  </si>
  <si>
    <t xml:space="preserve">Federal Unemployment Tax </t>
  </si>
  <si>
    <t xml:space="preserve">State Unemployment Insurance </t>
  </si>
  <si>
    <t xml:space="preserve">State Public Service Commission Fees </t>
  </si>
  <si>
    <t xml:space="preserve">State Franchise Taxes </t>
  </si>
  <si>
    <t xml:space="preserve">State Lic/Registration Fee  </t>
  </si>
  <si>
    <t xml:space="preserve">Misc. State and Local Tax </t>
  </si>
  <si>
    <t xml:space="preserve">Sales &amp; Use </t>
  </si>
  <si>
    <t xml:space="preserve">Federal Insurance Contribution (FICA ) </t>
  </si>
  <si>
    <t xml:space="preserve">Miscellaneous Taxes </t>
  </si>
  <si>
    <t>Revenue Taxes</t>
  </si>
  <si>
    <t>Real Estate and Personal Property Taxes</t>
  </si>
  <si>
    <t xml:space="preserve">Payroll Taxes </t>
  </si>
  <si>
    <t>DEFERRED TAX ADJUSTMENTS TO RATE BASE</t>
  </si>
  <si>
    <t>REGULATORY ASSETS</t>
  </si>
  <si>
    <t xml:space="preserve">     Less: Total Account 561</t>
  </si>
  <si>
    <t xml:space="preserve">               Acct. 928, Reg. Com. Exp.</t>
  </si>
  <si>
    <t xml:space="preserve">  Less:    Acct. 924, Property Insurance</t>
  </si>
  <si>
    <t xml:space="preserve">               Acct. 930.2, Misc. Gen. Exp.</t>
  </si>
  <si>
    <t xml:space="preserve">     Less: Regulatory Deferrals &amp; Amortizations</t>
  </si>
  <si>
    <t>General</t>
  </si>
  <si>
    <t xml:space="preserve"> Transmission Materials &amp; Supplies</t>
  </si>
  <si>
    <t xml:space="preserve">  A&amp;G Materials &amp; Supplies </t>
  </si>
  <si>
    <t>INCOME TAXES</t>
  </si>
  <si>
    <t xml:space="preserve">     T=1 - {[(1 - SIT) * (1 - FIT)] / (1 - SIT * FIT * p)} =</t>
  </si>
  <si>
    <t xml:space="preserve">    EIT=(T/(1-T)) * (1-(WCLTD/WACC)) =</t>
  </si>
  <si>
    <t>Amortized Investment Tax Credit (enter negative)</t>
  </si>
  <si>
    <t xml:space="preserve">Income Tax Calculation </t>
  </si>
  <si>
    <t xml:space="preserve">     ITC adjustment</t>
  </si>
  <si>
    <t>(Note R)</t>
  </si>
  <si>
    <t>The currently effective income tax rate,  where FIT is the Federal income tax rate; SIT is the State income tax rate, and p =</t>
  </si>
  <si>
    <t xml:space="preserve">         Inputs Required:</t>
  </si>
  <si>
    <t>FIT =</t>
  </si>
  <si>
    <t>SIT=</t>
  </si>
  <si>
    <t>p =</t>
  </si>
  <si>
    <t xml:space="preserve">  (percent of federal income tax deductible for state purposes)</t>
  </si>
  <si>
    <t>P</t>
  </si>
  <si>
    <t>Q</t>
  </si>
  <si>
    <t>R</t>
  </si>
  <si>
    <t>S</t>
  </si>
  <si>
    <t>NOTE C</t>
  </si>
  <si>
    <t>Actual (Uncapped) Capital Structure</t>
  </si>
  <si>
    <t>Expenses reported for these A&amp;G accounts will be included in the cost of service only to the extent they are directly assignable to transmission service. Worksheet F allocates</t>
  </si>
  <si>
    <t>RTEP Rev. Req't.</t>
  </si>
  <si>
    <t xml:space="preserve">          TEMPLATE BELOW TO MAINTAIN HISTORY OF PROJECTED ARRS OVER THE </t>
  </si>
  <si>
    <t>RTEP Projected Rev. Req't.From Prior Year WS J</t>
  </si>
  <si>
    <t>been removed from ratebase. Transmission ADIT allocations are shown on WS B.</t>
  </si>
  <si>
    <t>Note: Regulatory Assets &amp; Liabilities can only be included in ratebase pursuant to a 205 filing with the FERC.</t>
  </si>
  <si>
    <t xml:space="preserve">Less: Account 216.1 </t>
  </si>
  <si>
    <t xml:space="preserve">          TEMPLATE BELOW TO MAINTAIN HISTORY OF TRUED-UP ARRS OVER THE </t>
  </si>
  <si>
    <t xml:space="preserve">         LIFE OF THE PROJECT.</t>
  </si>
  <si>
    <t>RTEP Rev Req't True-up</t>
  </si>
  <si>
    <t>RTEP Projected Rev. Req't.From Prior Year Template</t>
  </si>
  <si>
    <t>RTEP  Rev Req't True-up</t>
  </si>
  <si>
    <t>Less: Account 219</t>
  </si>
  <si>
    <t>Less: Preferred Stock</t>
  </si>
  <si>
    <t>1) Forfeited Discounts.</t>
  </si>
  <si>
    <t>2) Miscellaneous Service Revenues.</t>
  </si>
  <si>
    <t>5) Other electric revenues.</t>
  </si>
  <si>
    <t>6) Revenues for grandfathered PTP contracts included in the load divisor.</t>
  </si>
  <si>
    <t>NET PLANT CARRYING CHARGE w/o intra-AEP charges or credits or ROE incentives (Note B)</t>
  </si>
  <si>
    <t>FF1, page 214, ln 47, Col. (d)</t>
  </si>
  <si>
    <t xml:space="preserve">  Less: General Plant ARO (Enter Negative) </t>
  </si>
  <si>
    <t xml:space="preserve">  Less: Transmission ARO (Enter Negative) </t>
  </si>
  <si>
    <t>FF1, page 219, ln 25, Col. (b)</t>
  </si>
  <si>
    <t>(Total Company Amount Ties to FFI p.114, Ln 14,(c))</t>
  </si>
  <si>
    <t>561.1 - Load Dispatch - Reliability</t>
  </si>
  <si>
    <t>561.2 - Load Dispatch - Monitor &amp; Operate Trans System</t>
  </si>
  <si>
    <t>561.3 - Load Dispatch - Trans Service &amp; Scheduling</t>
  </si>
  <si>
    <t>FF1 p 321.85.b</t>
  </si>
  <si>
    <t>FF1 p 321.86.b</t>
  </si>
  <si>
    <t>FF1 p 321.87.b</t>
  </si>
  <si>
    <t>FF1 p 321.88.b</t>
  </si>
  <si>
    <t>FF1 p 321.89.b</t>
  </si>
  <si>
    <t>FF1 p 321.90.b</t>
  </si>
  <si>
    <t>FF1 p 321.91.b</t>
  </si>
  <si>
    <t>561.4 - Scheduling, System Control &amp; Dispatch</t>
  </si>
  <si>
    <t>FF1 p 321.92.b</t>
  </si>
  <si>
    <t>Total of Account 561</t>
  </si>
  <si>
    <t>561.5 -  Reliability, Planning and Standards Development</t>
  </si>
  <si>
    <t>561.6 - Transmission Service Studies</t>
  </si>
  <si>
    <t>561.7 - Generation Interconnection Studies</t>
  </si>
  <si>
    <t>561.8 -  Reliability, Planning and Standards Development Services</t>
  </si>
  <si>
    <t>Detail of Account 561 Per FERC Form 1</t>
  </si>
  <si>
    <t>Apportionment Factors are determined as part of the Company's annual tax return for that jurisdiction.</t>
  </si>
  <si>
    <t>T</t>
  </si>
  <si>
    <t>Total O&amp;M Allocable to Transmission</t>
  </si>
  <si>
    <t>Transmission Cost of Service Formula Rate</t>
  </si>
  <si>
    <t xml:space="preserve"> O &amp; M EXPENSE SUBTOTAL</t>
  </si>
  <si>
    <t>321.112.b</t>
  </si>
  <si>
    <t>322.131.b</t>
  </si>
  <si>
    <t>323.185.b</t>
  </si>
  <si>
    <t>336.7.f</t>
  </si>
  <si>
    <t>336.10.f</t>
  </si>
  <si>
    <t>336.1.f</t>
  </si>
  <si>
    <t>(Note N)</t>
  </si>
  <si>
    <t xml:space="preserve"> (Note O)</t>
  </si>
  <si>
    <t xml:space="preserve">       and FIT, SIT &amp; p are as given in Note O.</t>
  </si>
  <si>
    <t>354.24,25,26.b</t>
  </si>
  <si>
    <t>REVENUE REQUIREMENT FOR SCHEDULE 1A CHARGES</t>
  </si>
  <si>
    <t>Total 561 Internally Developed Costs</t>
  </si>
  <si>
    <t xml:space="preserve">Total Load Dispatch &amp; Scheduling (Account 561) </t>
  </si>
  <si>
    <t>FF1, p. 227, ln 8, Col. (c) &amp; (b)</t>
  </si>
  <si>
    <t>FF1, p. 227, ln 11, Col. (c) &amp; (b)</t>
  </si>
  <si>
    <t>FF1, p. 227, ln 16, Col. (c) &amp; (b)</t>
  </si>
  <si>
    <t>State Business &amp; Occupation Tax</t>
  </si>
  <si>
    <t>State Severance Taxes</t>
  </si>
  <si>
    <t>AEP OPERATING COMPANIES' COMPOSITE (Note S)</t>
  </si>
  <si>
    <t xml:space="preserve">Worksheet  - P </t>
  </si>
  <si>
    <t>DEPRECIATION RATES</t>
  </si>
  <si>
    <t>FOR TRANSMISSION PLANT PROPERTY ACCOUNTS</t>
  </si>
  <si>
    <t>Amortization Period</t>
  </si>
  <si>
    <t>HEDGE AMOUNTS BY ISSUANCE (FROM p. 256-257 (i) of the FERC Form 1)</t>
  </si>
  <si>
    <t>Remaining Unamortized Balance</t>
  </si>
  <si>
    <t>Average (Ln 1+ Ln 2)/2</t>
  </si>
  <si>
    <t>FF1, page 207 Col.(g) &amp; pg. 206 Col. (b), ln 58</t>
  </si>
  <si>
    <t>FF1, page 207 Col.(g) &amp; pg. 206 Col. (b), ln 57</t>
  </si>
  <si>
    <t>FF1, page 207 Col.(g) &amp; pg. 206 Col. (b), ln 99</t>
  </si>
  <si>
    <t>FF1, page 207 Col.(g) &amp; pg. 206 Col. (b), ln 98</t>
  </si>
  <si>
    <t>FF1, page 205 Col.(g) &amp; pg. 204 Col. (b), ln 5</t>
  </si>
  <si>
    <t xml:space="preserve">   Effective State Tax Rate</t>
  </si>
  <si>
    <t>FF1, p. 274 - 275, ln 5, Col. (k)</t>
  </si>
  <si>
    <t>Current Projected Year Incentive ARR</t>
  </si>
  <si>
    <t>SUMMARY OF PROJECTED ANNUAL RTEP  REVENUE REQUIREMENTS</t>
  </si>
  <si>
    <t>TRUE-UP YEAR</t>
  </si>
  <si>
    <t>As Projected in Prior Year WS J</t>
  </si>
  <si>
    <t>SUMMARY OF TRUED-UP ANNUAL REVENUE REQUIREMENTS FOR RTEPPROJECTS</t>
  </si>
  <si>
    <t>Prior Yr Projected</t>
  </si>
  <si>
    <t>Prior Yr True-Up</t>
  </si>
  <si>
    <t>True-Up Adjustment</t>
  </si>
  <si>
    <t xml:space="preserve">Average </t>
  </si>
  <si>
    <t>CUMULATIVE HISTORY OF PROJECTED ANNUAL REVENUE REQUIREMENTS:</t>
  </si>
  <si>
    <t>Relative Valuation Factor</t>
  </si>
  <si>
    <t>Taxable Property Basis</t>
  </si>
  <si>
    <t>Functional Property Tax Allocation</t>
  </si>
  <si>
    <t>Real and Personal Property - Other Jurisdictions</t>
  </si>
  <si>
    <t>REVENUE REQUIREMENT For All Company Facilities</t>
  </si>
  <si>
    <t>Net (Gain)/Loss Hedge Amortization To Be Removed</t>
  </si>
  <si>
    <t xml:space="preserve"> Worksheet H page 2 Form 1 Source Reference of Company Amounts on WS H</t>
  </si>
  <si>
    <t xml:space="preserve"> Worksheet H page 1 Supporting Taxes Other than Income</t>
  </si>
  <si>
    <t>Worksheet Q Page 1</t>
  </si>
  <si>
    <t>Worksheet Q Page 2</t>
  </si>
  <si>
    <t>Worksheet Q Page 3</t>
  </si>
  <si>
    <t>Interest Expense (Company Records - Note 1)</t>
  </si>
  <si>
    <t xml:space="preserve">ITC Balances Includeable in Ratebase </t>
  </si>
  <si>
    <t>A.   Determine Annual Revenue Requirement less return and Income Taxes.</t>
  </si>
  <si>
    <t>354.22.b</t>
  </si>
  <si>
    <t>with Incentives **</t>
  </si>
  <si>
    <t xml:space="preserve"> Worksheet J Supporting Calculation of PROJECTED PJM RTEP Project Revenue Requirement Billed to Benefiting Zones</t>
  </si>
  <si>
    <t xml:space="preserve"> Worksheet K Supporting Calculation of TRUE-UP PJM RTEP Project Revenue Requirement Billed to Benefiting Zones</t>
  </si>
  <si>
    <t xml:space="preserve">NOTE 2 </t>
  </si>
  <si>
    <t xml:space="preserve">ADIT balances should exclude balances related to hedging activity. </t>
  </si>
  <si>
    <t>Annual Tax Expenses by Type (Note 1)</t>
  </si>
  <si>
    <t>FF1, p. 266-267, ln 8, Col. (h)</t>
  </si>
  <si>
    <t xml:space="preserve"> Worksheet B Supporting ADIT and ITC Balances</t>
  </si>
  <si>
    <t>additional incentive requirement is applicable for the life of this specific project.  Each year the revenue requirement calculated for PJM</t>
  </si>
  <si>
    <t>Capital Structure Percentages</t>
  </si>
  <si>
    <t>FERC</t>
  </si>
  <si>
    <t>Revenue credits include:</t>
  </si>
  <si>
    <t>3) Rental revenues earned on assets included in the rate base.</t>
  </si>
  <si>
    <t>4) Revenues for associated business projects provided by employees whose labor and overhead costs are in the transmission cost of service.</t>
  </si>
  <si>
    <t xml:space="preserve">these expense items. Acct 928 Includes Regulatory Commission expenses itemized in FERC Form-1 at page 351, column H.  FERC Assessment Fees and Annual Charges </t>
  </si>
  <si>
    <t xml:space="preserve">shall not be allocated to transmission.  Only safety-related and educational advertising costs in Account 930.1 are included in the TCOS. Account 930.2 includes the </t>
  </si>
  <si>
    <t>expenses incurred by the transmission function for Associated Business Development revenues given as a credit to the TCOS on Worksheet E.</t>
  </si>
  <si>
    <t xml:space="preserve">     Plus: Transmission Lease Payments To Affiliates in Acct 565 (Company Records) (Note H)</t>
  </si>
  <si>
    <t>See Worksheet E for details.</t>
  </si>
  <si>
    <t>Less:  Load Dispatch - Scheduling, System Control and Dispatch Services (321.88.b)</t>
  </si>
  <si>
    <t>Less:  Load Dispatch - Reliability, Planning &amp; Standards Development Services (321.92.b)</t>
  </si>
  <si>
    <t xml:space="preserve">   R   (from A. above)</t>
  </si>
  <si>
    <t>CUMULATIVE HISTORY OF TRUED-UP ANNUAL REVENUE REQUIREMENTS:</t>
  </si>
  <si>
    <t xml:space="preserve"> Worksheet F Supporting Allocation of Specific O&amp;M or  A&amp;G Expenses</t>
  </si>
  <si>
    <t>throughs and is completely excluded if the utility chose to utilize amortization of tax credits against FIT expense. An exception to this is pre-1971 ITC balances, which are</t>
  </si>
  <si>
    <t>T =  Transmission</t>
  </si>
  <si>
    <t>G = General</t>
  </si>
  <si>
    <t>(Gain) / Loss</t>
  </si>
  <si>
    <t>Worksheet C Supporting Working Capital Rate Base Adjustments</t>
  </si>
  <si>
    <t>Regulatory O&amp;M Deferrals &amp; Amortizations</t>
  </si>
  <si>
    <t>required to be taken as an offset to rate base. Account 281 is not allocated.  In compliance with FERC Rulemaking RM02-7-000, Asset Retirement Obligation deferrals have</t>
  </si>
  <si>
    <t>(Note E)</t>
  </si>
  <si>
    <t>Note 1</t>
  </si>
  <si>
    <t>(I)</t>
  </si>
  <si>
    <t xml:space="preserve">Average of </t>
  </si>
  <si>
    <t>Balances</t>
  </si>
  <si>
    <t xml:space="preserve">Subtotal - Form 1, p 111.57.c  </t>
  </si>
  <si>
    <t>(FF1 p.114, ln 19.c)</t>
  </si>
  <si>
    <t xml:space="preserve">  (State Income Tax Rate or Composite SIT.  Worksheet G))</t>
  </si>
  <si>
    <t>FF1, page 200, ln 21, Col. (b)</t>
  </si>
  <si>
    <t>Account 281</t>
  </si>
  <si>
    <t>Account 282</t>
  </si>
  <si>
    <t>Account 283</t>
  </si>
  <si>
    <t xml:space="preserve">Account 190 </t>
  </si>
  <si>
    <t>Account 255</t>
  </si>
  <si>
    <t>FF1, p. 234, ln 8, Col. (c)</t>
  </si>
  <si>
    <t>Year End Utility Deferrals</t>
  </si>
  <si>
    <t>Transmission Related Deferrals</t>
  </si>
  <si>
    <t>FF1, p. 272 - 273, ln 8, Col. (k)</t>
  </si>
  <si>
    <t>FF1, p. 276 - 277, ln 9, Col. (k)</t>
  </si>
  <si>
    <t>Less:  ARO Related Deferrals</t>
  </si>
  <si>
    <t>Less: Other Excluded Deferrals</t>
  </si>
  <si>
    <t>Year End ITC Balances</t>
  </si>
  <si>
    <t xml:space="preserve">Less:  Balances Not Qualified for Ratebase </t>
  </si>
  <si>
    <t xml:space="preserve">Plant </t>
  </si>
  <si>
    <t>Related</t>
  </si>
  <si>
    <t>(E)+(F)+(G)</t>
  </si>
  <si>
    <t xml:space="preserve"> Line Deliberately Left Blank</t>
  </si>
  <si>
    <t xml:space="preserve"> Lines 24-58 Column (B) Deliberately Left Blank</t>
  </si>
  <si>
    <t xml:space="preserve"> Lines 24-58 Column (D) Deliberately Left Blank</t>
  </si>
  <si>
    <t>Line Left Deliberately Blank</t>
  </si>
  <si>
    <t>Transmission Materials &amp; Supplies</t>
  </si>
  <si>
    <t>General Materials &amp; Supplies</t>
  </si>
  <si>
    <t xml:space="preserve">  Stores Expense </t>
  </si>
  <si>
    <t>Excludable</t>
  </si>
  <si>
    <t>Source of Data</t>
  </si>
  <si>
    <t>AEPTCo subsidiaries in PJM</t>
  </si>
  <si>
    <t>Plant Held For Future Use</t>
  </si>
  <si>
    <t>( C )</t>
  </si>
  <si>
    <t>General Notes:  a)  References to data from Worksheets are indicated as:  Worksheet X, Line#.Column.X</t>
  </si>
  <si>
    <t>NOTE 1</t>
  </si>
  <si>
    <t>Company Records - Note 1</t>
  </si>
  <si>
    <t>Subtotal - Other Operating Revenues (Company Total equals (FF1 p. 300.26.(b))</t>
  </si>
  <si>
    <t xml:space="preserve"> Worksheet G Supporting - Development of Composite State Income Tax Rate</t>
  </si>
  <si>
    <t>Revenue Credits to Generators (Company Records - Note 1)</t>
  </si>
  <si>
    <t>Accounting Adjustment  (Company Records - Note 1)</t>
  </si>
  <si>
    <t>Average Balance of Common Equity</t>
  </si>
  <si>
    <t>Development of Cost of  Long Term Debt Based on Average Outstanding Balance</t>
  </si>
  <si>
    <t>Amort of Debt Discount &amp; Expense (117.63.c)</t>
  </si>
  <si>
    <t>Amort of Loss on Reacquired Debt (117.64.c)</t>
  </si>
  <si>
    <t>Less: Amort of Premium on Debt (117.65.c)</t>
  </si>
  <si>
    <t>Less: Amort of Gain on Reacquired Debt (117.66.c)</t>
  </si>
  <si>
    <t>Development of Cost of Preferred Stock</t>
  </si>
  <si>
    <t>Bonds (112.18.c&amp;d)</t>
  </si>
  <si>
    <t>Less: Reacquired Bonds (112.19.c&amp;d)</t>
  </si>
  <si>
    <t>Interest on Long Term Debt (256-257.33.i)</t>
  </si>
  <si>
    <t>354.21.b</t>
  </si>
  <si>
    <t>Date</t>
  </si>
  <si>
    <t>Property Description</t>
  </si>
  <si>
    <t>Basis</t>
  </si>
  <si>
    <t>Proceeds</t>
  </si>
  <si>
    <t xml:space="preserve">Line </t>
  </si>
  <si>
    <t>Function (T) or (G)</t>
  </si>
  <si>
    <t>Functional Allocator</t>
  </si>
  <si>
    <t xml:space="preserve">(G) </t>
  </si>
  <si>
    <t>Functionalized Proceeds</t>
  </si>
  <si>
    <t>Removes transmission plant (e.g. step-up transformers) included in the development of OATT ancillary service rates and not already removed for reasons indicated in Note P.</t>
  </si>
  <si>
    <t xml:space="preserve">     Less: Account 565</t>
  </si>
  <si>
    <t>ACCUMULATED DEPRECIATION AND AMORTIZATION</t>
  </si>
  <si>
    <t>WACC=</t>
  </si>
  <si>
    <t>Non-</t>
  </si>
  <si>
    <t xml:space="preserve">IPP CONTRIBUTIONS FOR CONSTRUCTION  </t>
  </si>
  <si>
    <t>TAXES OTHER THAN INCOME</t>
  </si>
  <si>
    <t>TOTAL OTHER TAXES</t>
  </si>
  <si>
    <t>TOTAL INCOME TAXES</t>
  </si>
  <si>
    <t>Item No.</t>
  </si>
  <si>
    <t>Expense</t>
  </si>
  <si>
    <t>Specific</t>
  </si>
  <si>
    <t>Explanation</t>
  </si>
  <si>
    <t>SUPPORTING CALCULATIONS</t>
  </si>
  <si>
    <t>WAGES &amp; SALARY ALLOCATOR (W/S)</t>
  </si>
  <si>
    <t>Transmission related amount</t>
  </si>
  <si>
    <t>W/S=</t>
  </si>
  <si>
    <t>TOTAL WORKING CAPITAL</t>
  </si>
  <si>
    <t>TOTAL NET PLANT IN SERVICE</t>
  </si>
  <si>
    <t>TOTAL ACCUMULATED DEPRECIATION</t>
  </si>
  <si>
    <t>TOTAL GROSS PLANT</t>
  </si>
  <si>
    <t>TO Total</t>
  </si>
  <si>
    <t>GROSS PLANT IN SERVICE</t>
  </si>
  <si>
    <t>NET PLANT IN SERVICE</t>
  </si>
  <si>
    <t>(E)</t>
  </si>
  <si>
    <t>(F)</t>
  </si>
  <si>
    <t>(G)</t>
  </si>
  <si>
    <t>100%</t>
  </si>
  <si>
    <t>YE Balance</t>
  </si>
  <si>
    <t>Non-Transmission</t>
  </si>
  <si>
    <t>Acc. No.</t>
  </si>
  <si>
    <t>(H)</t>
  </si>
  <si>
    <t>TOTAL ADJUSTMENTS</t>
  </si>
  <si>
    <t>WORKING CAPITAL</t>
  </si>
  <si>
    <t>RATE BASE CALCULATION</t>
  </si>
  <si>
    <t>Data Sources</t>
  </si>
  <si>
    <t>323.189.b</t>
  </si>
  <si>
    <t>323.191.b</t>
  </si>
  <si>
    <t>323.192.b</t>
  </si>
  <si>
    <t>INTEREST ON IPP CONTRIBUTION FOR CONST. (Note F) (Worksheet D, ln 2.(B))</t>
  </si>
  <si>
    <t>(Note H) 321.96.b</t>
  </si>
  <si>
    <t>EXPENSE, TAXES, RETURN &amp; REVENUE</t>
  </si>
  <si>
    <t>REQUIREMENTS  CALCULATION</t>
  </si>
  <si>
    <t>OPERATION &amp; MAINTENANCE EXPENSE</t>
  </si>
  <si>
    <t xml:space="preserve">  Administrative and General</t>
  </si>
  <si>
    <t xml:space="preserve">  Prepayments (Account 165) - Unallocable</t>
  </si>
  <si>
    <t>Number</t>
  </si>
  <si>
    <t>Michigan Single Business Tax</t>
  </si>
  <si>
    <t xml:space="preserve">               Acct. 930.1, Gen. Advert. Exp.</t>
  </si>
  <si>
    <t xml:space="preserve">     Balance of A &amp; G</t>
  </si>
  <si>
    <t xml:space="preserve">     A &amp; G Subtotal</t>
  </si>
  <si>
    <t>TOTAL O &amp; M EXPENSE</t>
  </si>
  <si>
    <t>REVENUE REQUIREMENT (w/o incentives)</t>
  </si>
  <si>
    <t>(See "General Notes")</t>
  </si>
  <si>
    <t>DEPRECIATION AND AMORTIZATION EXPENSE</t>
  </si>
  <si>
    <t xml:space="preserve"> </t>
  </si>
  <si>
    <t>Transmission</t>
  </si>
  <si>
    <t>ln</t>
  </si>
  <si>
    <t>No.</t>
  </si>
  <si>
    <t>Total</t>
  </si>
  <si>
    <t>Allocator</t>
  </si>
  <si>
    <t>TP</t>
  </si>
  <si>
    <t>(1)</t>
  </si>
  <si>
    <t>(2)</t>
  </si>
  <si>
    <t>(3)</t>
  </si>
  <si>
    <t>(4)</t>
  </si>
  <si>
    <t>(5)</t>
  </si>
  <si>
    <t>NA</t>
  </si>
  <si>
    <t xml:space="preserve">  Transmission</t>
  </si>
  <si>
    <t>DA</t>
  </si>
  <si>
    <t xml:space="preserve">  General Plant   </t>
  </si>
  <si>
    <t>W/S</t>
  </si>
  <si>
    <t xml:space="preserve">  Intangible Plant</t>
  </si>
  <si>
    <t xml:space="preserve">  Account No. 255 (enter negative)</t>
  </si>
  <si>
    <t xml:space="preserve">  Transmission </t>
  </si>
  <si>
    <t xml:space="preserve">  General </t>
  </si>
  <si>
    <t xml:space="preserve">  Intangible</t>
  </si>
  <si>
    <t xml:space="preserve">  Labor Related</t>
  </si>
  <si>
    <t xml:space="preserve">          Payroll</t>
  </si>
  <si>
    <t xml:space="preserve">  Plant Related</t>
  </si>
  <si>
    <t xml:space="preserve">         Property</t>
  </si>
  <si>
    <t xml:space="preserve">         Other</t>
  </si>
  <si>
    <t>TP=</t>
  </si>
  <si>
    <t>$</t>
  </si>
  <si>
    <t>Cost</t>
  </si>
  <si>
    <t>%</t>
  </si>
  <si>
    <t>Weighted</t>
  </si>
  <si>
    <t>A</t>
  </si>
  <si>
    <t>B</t>
  </si>
  <si>
    <t>C</t>
  </si>
  <si>
    <t>D</t>
  </si>
  <si>
    <t>E</t>
  </si>
  <si>
    <t>F</t>
  </si>
  <si>
    <t>G</t>
  </si>
  <si>
    <t>H</t>
  </si>
  <si>
    <t>I</t>
  </si>
  <si>
    <t>J</t>
  </si>
  <si>
    <t>K</t>
  </si>
  <si>
    <t>L</t>
  </si>
  <si>
    <t>M</t>
  </si>
  <si>
    <t>Labor</t>
  </si>
  <si>
    <t>(A)</t>
  </si>
  <si>
    <t>(B)</t>
  </si>
  <si>
    <t>(C)</t>
  </si>
  <si>
    <t>(D)</t>
  </si>
  <si>
    <t xml:space="preserve">Total transmission plant   </t>
  </si>
  <si>
    <t>Description</t>
  </si>
  <si>
    <t xml:space="preserve">REVENUE CREDITS </t>
  </si>
  <si>
    <t>Line</t>
  </si>
  <si>
    <t>Amount</t>
  </si>
  <si>
    <t>I.</t>
  </si>
  <si>
    <t>II.</t>
  </si>
  <si>
    <t>III.</t>
  </si>
  <si>
    <t>IV.</t>
  </si>
  <si>
    <t>Notes</t>
  </si>
  <si>
    <t>Letter</t>
  </si>
  <si>
    <t>Year</t>
  </si>
  <si>
    <t>Balance</t>
  </si>
  <si>
    <t>Total Included</t>
  </si>
  <si>
    <t>in Ratebase</t>
  </si>
  <si>
    <t>Other</t>
  </si>
  <si>
    <t xml:space="preserve">Total  </t>
  </si>
  <si>
    <t>Company</t>
  </si>
  <si>
    <t>Direct Payroll</t>
  </si>
  <si>
    <t xml:space="preserve">  Account No. 281.1 (enter negative)</t>
  </si>
  <si>
    <t xml:space="preserve">  Account No. 282.1 (enter negative)</t>
  </si>
  <si>
    <t xml:space="preserve">  Account No. 283.1 (enter negative)</t>
  </si>
  <si>
    <t xml:space="preserve">  Account No. 190.1</t>
  </si>
  <si>
    <t xml:space="preserve">     Plus: Acct. 924, Property Insurance</t>
  </si>
  <si>
    <t>WEIGHTED AVERAGE COST OF CAPITAL (WACC)</t>
  </si>
  <si>
    <t>RETURN ON RATE BASE (Rate Base*WACC)</t>
  </si>
  <si>
    <t xml:space="preserve">         Gross Receipts/Sales &amp; Use</t>
  </si>
  <si>
    <t xml:space="preserve">  Other (Excludes A&amp;G) </t>
  </si>
  <si>
    <t>322 &amp; 323.164,171,178.b</t>
  </si>
  <si>
    <t>Total Effective State Income Tax Rate</t>
  </si>
  <si>
    <t>Cash Working Capital</t>
  </si>
  <si>
    <t>PLANT HELD FOR FUTURE USE</t>
  </si>
  <si>
    <t>Source</t>
  </si>
  <si>
    <t>Materials &amp; Supplies</t>
  </si>
  <si>
    <t xml:space="preserve">  Prepayments (Account 165) - Labor Allocated</t>
  </si>
  <si>
    <t xml:space="preserve">  Prepayments (Account 165) - Gross Plant</t>
  </si>
  <si>
    <t>Account 930.2</t>
  </si>
  <si>
    <t>Account 930.1</t>
  </si>
  <si>
    <t>Account 928</t>
  </si>
  <si>
    <t>Average Balance</t>
  </si>
  <si>
    <t>Payroll Billed from AEP Service Corp.</t>
  </si>
  <si>
    <t>Total Other Operating Revenues To Reduce Revenue Requirement</t>
  </si>
  <si>
    <t>GTD=</t>
  </si>
  <si>
    <t>made contributions toward the construction of System upgrades, and includes accrued interest and unreturned balance of contributions.  The annual interest</t>
  </si>
  <si>
    <t>Long Term Interest</t>
  </si>
  <si>
    <t xml:space="preserve">Preferred Dividends </t>
  </si>
  <si>
    <t>TRANSMISSION PLANT INCLUDED IN PJM TARIFF</t>
  </si>
  <si>
    <t>Transmission plant included in PJM Tariff</t>
  </si>
  <si>
    <t>Percent of transmission plant in PJM Tariff</t>
  </si>
  <si>
    <t>AEP East Consolidated Utility Capital Structure</t>
  </si>
  <si>
    <t>Appalachian Power Company</t>
  </si>
  <si>
    <t>Indiana Michigan Power Company</t>
  </si>
  <si>
    <t>Kentucky Power Company</t>
  </si>
  <si>
    <t>Kingsport Power Company</t>
  </si>
  <si>
    <t>Ohio Power Company</t>
  </si>
  <si>
    <t>Wheeling Power Company</t>
  </si>
  <si>
    <t>AEP East Operating Companies' Consolidated Capital Structure</t>
  </si>
  <si>
    <t>Development of Long Term Debt Balances at Year End</t>
  </si>
  <si>
    <t>Development of Long Term Debt Interest Expense</t>
  </si>
  <si>
    <t>Less: Hedge Interest on pp 256-257(i)</t>
  </si>
  <si>
    <t>Development of Cost of Preferred Stock and Preferred Dividends</t>
  </si>
  <si>
    <t>Dividend Rate (p. 250-251. 7.a)</t>
  </si>
  <si>
    <t>Par Value (p. 250-251. 8.c)</t>
  </si>
  <si>
    <t>Shares Outstanding (p.250-251. 8.e)</t>
  </si>
  <si>
    <t>Development of Common Equity</t>
  </si>
  <si>
    <t>Proprietary Capital (112.16.c)</t>
  </si>
  <si>
    <t>Less: Account 216.1 (112.12.c)</t>
  </si>
  <si>
    <t xml:space="preserve">Less: Account 219.1 (112.15.c) </t>
  </si>
  <si>
    <t>Balance of Common Equity</t>
  </si>
  <si>
    <t>Calculation of Capital Shares</t>
  </si>
  <si>
    <t>Total Company Structure</t>
  </si>
  <si>
    <t>Calculation of Capital Cost Rate</t>
  </si>
  <si>
    <t>Common Equity Capital Cost Rate</t>
  </si>
  <si>
    <t>Calculation of Weighted Capital Cost Rate</t>
  </si>
  <si>
    <t>Consolidation of Operating Companies' Average Capital Structure</t>
  </si>
  <si>
    <t>Development of Average Long Term Debt</t>
  </si>
  <si>
    <t>Average Balance of Long Term Debt</t>
  </si>
  <si>
    <t>Development of Average Common Equity</t>
  </si>
  <si>
    <t>Average of Total Company Structure</t>
  </si>
  <si>
    <t>T-Plant (FF1 206.58.b)</t>
  </si>
  <si>
    <t>T-Plant (FF1 206.58.g)</t>
  </si>
  <si>
    <t>TOTAL</t>
  </si>
  <si>
    <t>Depreciation (FF1 336.7.f)</t>
  </si>
  <si>
    <t>Removes plant excluded from the OATT because it does not meet the PJM's definition of Transmission Facilities or is otherwise ineligible to be recovered under the OATT.</t>
  </si>
  <si>
    <t>Less: Net Value  Exempted Generation Plant</t>
  </si>
  <si>
    <t>Less: Net Value of Exempted Generation Plant</t>
  </si>
  <si>
    <t xml:space="preserve">  Regional Market Expenses</t>
  </si>
  <si>
    <t>Worksheet D Supporting  IPP Credits</t>
  </si>
  <si>
    <t>(Note S)</t>
  </si>
  <si>
    <t>NOTE:  The balance of fair value hedges on outstanding long term debt are to be excluded from the balance of long term debt included in the formula's capital structure. (page 257, Column H of the FF1)</t>
  </si>
  <si>
    <t>For Twelve Months Ended</t>
  </si>
  <si>
    <t>Facility Credits under PJM OATT Section 30.9</t>
  </si>
  <si>
    <t xml:space="preserve"> Revenue Requirement for PJM Schedule 12 Facilities (w/o incentives)  (Worksheet J/K)</t>
  </si>
  <si>
    <t>ADDITIONAL REVENUE REQUIREMENT for projects w/ incentive ROE's (Note B) (Worksheet J/K)</t>
  </si>
  <si>
    <t>Excess Deferred Income Tax</t>
  </si>
  <si>
    <t>U</t>
  </si>
  <si>
    <t>Tax Affect of Permanent Differences</t>
  </si>
  <si>
    <t>RESERVED FOR FUTURE USE</t>
  </si>
  <si>
    <t>Reserved for Future Use</t>
  </si>
  <si>
    <t>Cost of Service Formula Rate Using Actual/Projected FF1 Balances</t>
  </si>
  <si>
    <t>Reserved</t>
  </si>
  <si>
    <t>True-up Adjustment - Over (Under) Recovery</t>
  </si>
  <si>
    <t>Over (Under) Recovery Plus Interest</t>
  </si>
  <si>
    <t>Average Monthly Interest Rate</t>
  </si>
  <si>
    <t>Months</t>
  </si>
  <si>
    <t>Calculated Interest</t>
  </si>
  <si>
    <t>Amortization</t>
  </si>
  <si>
    <t>Surcharge (Refund) Owed</t>
  </si>
  <si>
    <t>Calculation of Interest</t>
  </si>
  <si>
    <t>Monthly</t>
  </si>
  <si>
    <t>January</t>
  </si>
  <si>
    <t>February</t>
  </si>
  <si>
    <t>March</t>
  </si>
  <si>
    <t>April</t>
  </si>
  <si>
    <t>May</t>
  </si>
  <si>
    <t>June</t>
  </si>
  <si>
    <t>July</t>
  </si>
  <si>
    <t>August</t>
  </si>
  <si>
    <t>September</t>
  </si>
  <si>
    <t>October</t>
  </si>
  <si>
    <t>November</t>
  </si>
  <si>
    <t>December</t>
  </si>
  <si>
    <t>Annual</t>
  </si>
  <si>
    <t>January  through December</t>
  </si>
  <si>
    <t>Over (Under) Recovery Plus Interest Amortized and Recovered Over 12 Months</t>
  </si>
  <si>
    <t>True-Up Adjustment with Interest</t>
  </si>
  <si>
    <t>Less Over (Under) Recovery</t>
  </si>
  <si>
    <t>Total Interest</t>
  </si>
  <si>
    <t>Note 1:  The interest rate to be applied to the over recovery or under recovery amounts will be determined using the average monthly FERC interest rate (as determined pursuant to 18 C.F.R. Section 35.19a) for the twenty (20) months from the beginning of the rate year being trued-up through August 31 of the following year.</t>
  </si>
  <si>
    <t>Worksheet R - True-up With Interest</t>
  </si>
  <si>
    <t>Includes only FICA, unemployment, highway, property and other assessments.  Gross receipts, sales &amp; use and taxes related to income are excluded.</t>
  </si>
  <si>
    <t xml:space="preserve"> Worksheet I RESERVED</t>
  </si>
  <si>
    <t>Average Life in Whole Years</t>
  </si>
  <si>
    <t xml:space="preserve"> Worksheet L RESERVED</t>
  </si>
  <si>
    <t xml:space="preserve">shall include all revenues associated with those directly assigned transmission facilities, irrespective of whether the loads </t>
  </si>
  <si>
    <t>assigned transmission facilities are not included in the transmission plant balances on which the formula rate ATRR is based.</t>
  </si>
  <si>
    <t>In compliance with FERC Rulemaking the calculation of ADIT in the annual projection will be performed in accordance</t>
  </si>
  <si>
    <t>with IRS regulation Section 1.167(I)-I(h)(6)(ii).  Detailed balances for the projected or actual period, distinguished between utility and non-utility</t>
  </si>
  <si>
    <t>balances, will be filed and posted as part of the informational filing.</t>
  </si>
  <si>
    <t xml:space="preserve">Removes the impact of state regulatory deferrals or their amortization from Transmission O&amp;M expense. </t>
  </si>
  <si>
    <t>The formula rate shall reflect the applicable state and federal statutory tax rates in effect during the period the calculated estimated unit charges are applicable.  If the statutory tax rates change during such period, the effective tax rates used in the formula shall be weighted by the number of days the pre-ochange rate and post-change rate each is in effect.</t>
  </si>
  <si>
    <t>Cash investment in prepaid pension and benefits recorded in FERC Account 165 is permitted to be included in the formula.  A labor expense allocation factor will be used to allocate total company costs.  All other prepayments recorded in FERC Account 165 are directly assigned to the transmission function, allocated or excludable balances detailed on Worksheet C.</t>
  </si>
  <si>
    <t>V</t>
  </si>
  <si>
    <t>The formula rate shall allocate property tax expense based on the as filed net plant cost allocation method detailed on Worksheet H.</t>
  </si>
  <si>
    <t>W</t>
  </si>
  <si>
    <t>AEP Transmission Companies will record depreciation expense using composites of the depreciation rates shown on Worksheet P which rates will not be changed absent a Section 205 or 206 filing at FERC to seek a change in depreciation rates.  No other changes to the formula rate may be included in that filing.</t>
  </si>
  <si>
    <t>X</t>
  </si>
  <si>
    <t xml:space="preserve">7) If AEP Transmission Companies have any directly assigned transmission facilities, the revenue credits in the formula rate </t>
  </si>
  <si>
    <t>of the customer are included in the formula rate divisor; provided however, such addition to revenue credits shall not be reflected if the costs of such directly</t>
  </si>
  <si>
    <t>The annual and monthly net plant carrying charges on page 1 are used to compute the revenue requirement for RTEP sponsored upgrades or those projects receiving approved incentive-ROE's.  Interest will be calculated based on Worksheet R and any over under recovery will be filed and posted as part of the informational filing.</t>
  </si>
  <si>
    <t>Under Section 30.9 of the PJM OATT, a network customer that owns existing transmission facilities that are integrated with the Transmission Provider's Transmission System may be eligible to receive consideration either through a billing credit or some other mechanism.  Calculation of any credit under this subsection, pursuant to approval by FERC for inclusion in this formula rate for collection on behalf of the network customer, shall be addressed in either the Network Customer's Service Agreement or any other agreement between the parties.</t>
  </si>
  <si>
    <t xml:space="preserve">   Annual Revenue Requirement, Less Return and Taxes</t>
  </si>
  <si>
    <t>AEPTCo Subsidiaries in PJM</t>
  </si>
  <si>
    <t>Real and Personal Property - West Virginia</t>
  </si>
  <si>
    <t>Real and Personal Property - Virginia</t>
  </si>
  <si>
    <t>Real and Personal Property - Tennessee</t>
  </si>
  <si>
    <t>WEST VIRGINIA JURISDICTION</t>
  </si>
  <si>
    <t>____________ JURISDICTION</t>
  </si>
  <si>
    <t>APCo</t>
  </si>
  <si>
    <t>WPCo</t>
  </si>
  <si>
    <t xml:space="preserve">Includes functional wages &amp; salaries billed by AEP Service Corporation  for support of the operating company. </t>
  </si>
  <si>
    <t>Apportionment Factor - Note 1</t>
  </si>
  <si>
    <t xml:space="preserve">Actual After True-up </t>
  </si>
  <si>
    <t xml:space="preserve">   Annual Revenue Requirement, Less Lease Payments, Return and Taxes</t>
  </si>
  <si>
    <r>
      <t>Note:</t>
    </r>
    <r>
      <rPr>
        <sz val="12"/>
        <rFont val="Arial"/>
        <family val="2"/>
      </rPr>
      <t xml:space="preserve"> AEP WEST VIRGINIA TRANSMISSION COMPANY shall initially use the composite depreciation rate for APCo and WPCo shown above to estimate depreciation expense for transmission projects in Worksheets J and K until a composite depreciation rate based on transmission plant in service and depreciation expenses recorded by AEP WEST VIRGINIA TRANSMISSION COMPANY for its own transmission facilities can be calculated in AEP WEST VIRGINIA TRANSMISSION COMPANY's the first Annual Update including a True-Up TCOS.</t>
    </r>
  </si>
  <si>
    <t>.</t>
  </si>
  <si>
    <t xml:space="preserve">Subtotal - Form 1, p 111.57.d  </t>
  </si>
  <si>
    <t>5a</t>
  </si>
  <si>
    <t>Account 457.1, Regional Control Service  Revenues (FF1 p.300.23.(b); Company Records - Note 1)</t>
  </si>
  <si>
    <t>5b</t>
  </si>
  <si>
    <t>Account 457.2, Miscellaneous Revenues (FF1p.300.24.(b); Company Records - Note 1)</t>
  </si>
  <si>
    <t>Note 2</t>
  </si>
  <si>
    <t>The total of line 4 and line 5 will equal total Account 456 as listed on FF1 p.300.21-22.(b)</t>
  </si>
  <si>
    <t>Total (FERC Form 1 p.323.189.b)</t>
  </si>
  <si>
    <t>Total (FERC Form 1 p.323.191.b)</t>
  </si>
  <si>
    <t>Total (FERC Form 1 p.323.192.b)</t>
  </si>
  <si>
    <t>Privileged and Confidential</t>
  </si>
  <si>
    <t>Subject to FERC Rules 602 and 606</t>
  </si>
  <si>
    <r>
      <t>GP</t>
    </r>
    <r>
      <rPr>
        <strike/>
        <sz val="12"/>
        <color indexed="10"/>
        <rFont val="Arial"/>
        <family val="2"/>
      </rPr>
      <t>(h)</t>
    </r>
  </si>
  <si>
    <t>UNFUNDED RESERVES (ENTER NEGATIVE) (NOTE Y)</t>
  </si>
  <si>
    <t>(Worksheet A ln 54.(e))</t>
  </si>
  <si>
    <t>Tax Effect of Permanent and Flow-Through Differences</t>
  </si>
  <si>
    <r>
      <t>NP</t>
    </r>
    <r>
      <rPr>
        <strike/>
        <sz val="12"/>
        <rFont val="Arial"/>
        <family val="2"/>
      </rPr>
      <t>(h)</t>
    </r>
  </si>
  <si>
    <t>Y</t>
  </si>
  <si>
    <t>The cost of service will make a rate base adjustment to remove unfunded reserves associated with contingent liabiliites recorded to Accounts 228.1-228.4 from rate base.</t>
  </si>
  <si>
    <t>SPECIFIED DEFERRED CREDITS - Actual Cycle Only</t>
  </si>
  <si>
    <t>(DEBIT)  CREDIT</t>
  </si>
  <si>
    <t>COLUMN A</t>
  </si>
  <si>
    <t>COLUMN B</t>
  </si>
  <si>
    <t>COLUMN C</t>
  </si>
  <si>
    <t>COLUMN D</t>
  </si>
  <si>
    <t>COLUMN E</t>
  </si>
  <si>
    <t>COLUMN F</t>
  </si>
  <si>
    <t>COLUMN G</t>
  </si>
  <si>
    <t>COLUMN H</t>
  </si>
  <si>
    <t>COLUMN I</t>
  </si>
  <si>
    <t>COLUMN J</t>
  </si>
  <si>
    <t>COLUMN K</t>
  </si>
  <si>
    <t>COLUMN L</t>
  </si>
  <si>
    <t>COLUMN M</t>
  </si>
  <si>
    <t>COLUMN N</t>
  </si>
  <si>
    <t>COLUMN O</t>
  </si>
  <si>
    <t>PER BOOKS</t>
  </si>
  <si>
    <t>NON-APPLICABLE/NON-UTILITY</t>
  </si>
  <si>
    <t>AVERAGE</t>
  </si>
  <si>
    <t>FUNCTIONALIZATION AVERAGE</t>
  </si>
  <si>
    <t xml:space="preserve">ELECTRIC </t>
  </si>
  <si>
    <t>BALANCE AS</t>
  </si>
  <si>
    <t>UTILITY</t>
  </si>
  <si>
    <t>ACCUMULATED DEFERRED FIT ITEMS</t>
  </si>
  <si>
    <t>(B+C+D+E)/2</t>
  </si>
  <si>
    <t>GENERATION</t>
  </si>
  <si>
    <t>TRANSMISSION</t>
  </si>
  <si>
    <t>DISTRIBUTION</t>
  </si>
  <si>
    <t>ACCOUNT 281:</t>
  </si>
  <si>
    <t>TOTAL ACCOUNT 281</t>
  </si>
  <si>
    <t>ACCOUNT 281 - ARO-Related Deferrals</t>
  </si>
  <si>
    <t>ACCOUNT 282:</t>
  </si>
  <si>
    <t>TOTAL ACOUNT 282</t>
  </si>
  <si>
    <t>ACCOUNT 282 - ARO-Related Deferals</t>
  </si>
  <si>
    <t>ACCOUNT 283:</t>
  </si>
  <si>
    <t>DEFD STATE INCOME TAXES</t>
  </si>
  <si>
    <t>TOTAL ACCOUNT 283</t>
  </si>
  <si>
    <t>ACCOUNT 283 - ARO-Related Deferals</t>
  </si>
  <si>
    <t>JURISDICTIONAL AMOUNTS FUNCTIONALIZED</t>
  </si>
  <si>
    <t>TOTAL COMPANY AMOUNTS FUNCTIONALIZED</t>
  </si>
  <si>
    <t>REFUNCTIONALIZED BASED ON JURISDICTIONAL PLANT</t>
  </si>
  <si>
    <t>NOTE:  POST 1970 ACCUMULATED DEFERRED</t>
  </si>
  <si>
    <t xml:space="preserve">             INV TAX CRED. (JDITC) IN A/C 255</t>
  </si>
  <si>
    <t>TOTAL ACCOUNT 255</t>
  </si>
  <si>
    <t>ACCUMULATED DEFERRED INCOME TAX IN ACCOUNT 190 - Actual Cycle Only</t>
  </si>
  <si>
    <t>DEBIT  (CREDIT)</t>
  </si>
  <si>
    <t>ACCOUNT 190:</t>
  </si>
  <si>
    <t>TOTAL ACCOUNT 190</t>
  </si>
  <si>
    <t>ACCOUNT 190 - ARO-Related Deferals</t>
  </si>
  <si>
    <t>Note 1:</t>
  </si>
  <si>
    <t>Tax Year</t>
  </si>
  <si>
    <t>Total
Company</t>
  </si>
  <si>
    <t>FERC FORM 1
Tie-Back</t>
  </si>
  <si>
    <t>Tax Year Factor
(Note 2)</t>
  </si>
  <si>
    <t xml:space="preserve">"Real Estate and Personal Propety Tax Detail 
Annual Tax Expenses by Type (Note 1)"
</t>
  </si>
  <si>
    <t>Transmission Function
(Note 2)</t>
  </si>
  <si>
    <t xml:space="preserve">Note 2: The transmission functional amounts for any Real Estate and Property taxes listed on pages 263 of the FERC Form 1 will be allocated using the transmission functional allocator calculated for each state in Worksheet H of the applicable year that the taxes were assesed.  Real and Personal Property - Other Jurisdictions will be allocated using the Gross Plant Allocator from the applicable year..  </t>
  </si>
  <si>
    <t xml:space="preserve"> Worksheet A Rate Base</t>
  </si>
  <si>
    <t>Gross Plant In Service</t>
  </si>
  <si>
    <t>Line 
No</t>
  </si>
  <si>
    <t>Month</t>
  </si>
  <si>
    <t>Transmission ARO</t>
  </si>
  <si>
    <t>General ARO</t>
  </si>
  <si>
    <t>Intangible</t>
  </si>
  <si>
    <t>(a)</t>
  </si>
  <si>
    <t>(d)</t>
  </si>
  <si>
    <t>(e)</t>
  </si>
  <si>
    <t>(h)</t>
  </si>
  <si>
    <t>(i)</t>
  </si>
  <si>
    <t>(j)</t>
  </si>
  <si>
    <t>(Note A)</t>
  </si>
  <si>
    <t>December Prior to Rate Year</t>
  </si>
  <si>
    <t xml:space="preserve">March </t>
  </si>
  <si>
    <t xml:space="preserve">August </t>
  </si>
  <si>
    <t>December  of Rate Year</t>
  </si>
  <si>
    <t xml:space="preserve">Average of the 13 Monthly Balances </t>
  </si>
  <si>
    <t>Accumulated Depreciation</t>
  </si>
  <si>
    <t>Company Records</t>
  </si>
  <si>
    <t>OATT Ancillary Services (GSU) Plant In Service</t>
  </si>
  <si>
    <t>OATT Ancillary Services (GSU) Accumulated Depreciation</t>
  </si>
  <si>
    <t>Excluded Plant  - Plant In Service</t>
  </si>
  <si>
    <t>Excluded Plant  - Accumulated Depreciation</t>
  </si>
  <si>
    <t>(b)</t>
  </si>
  <si>
    <t>(c)</t>
  </si>
  <si>
    <t>Total Regulatory Deferrals Included in Ratebase</t>
  </si>
  <si>
    <t>Unfunded Reserves Summary (Company Records)</t>
  </si>
  <si>
    <t>53a</t>
  </si>
  <si>
    <t>53b</t>
  </si>
  <si>
    <t xml:space="preserve">NOTE 1: On this worksheet, "Company Records" refers to AEP's property accounting ledger. </t>
  </si>
  <si>
    <t>NOTE 2: The ratebase should not include the unamoritzed balance of hedging gains or losses.</t>
  </si>
  <si>
    <t>Worksheet M Supporting Calculation of Capital Structure and Weighted Average Cost of Capital</t>
  </si>
  <si>
    <t>Proprietary Capital</t>
  </si>
  <si>
    <t>Less Undistributed Sub Earnings (Acct 216.1)</t>
  </si>
  <si>
    <t>Less AOCI (Acct 219.1)</t>
  </si>
  <si>
    <t>(f)=(b)-( c)-(d)-( e)</t>
  </si>
  <si>
    <t xml:space="preserve"> (FF1 112.16)</t>
  </si>
  <si>
    <t xml:space="preserve"> (FF1 250-251)</t>
  </si>
  <si>
    <t xml:space="preserve"> (FF1 112.12)</t>
  </si>
  <si>
    <t>(FF1 112.15)</t>
  </si>
  <si>
    <t>Bonds</t>
  </si>
  <si>
    <t>Less: Reacquired Bonds</t>
  </si>
  <si>
    <t>Less: Fair Value Hedges</t>
  </si>
  <si>
    <t>(f)</t>
  </si>
  <si>
    <t>(g)=(b)-( c)+(d)+( e)-(f)</t>
  </si>
  <si>
    <t xml:space="preserve"> (FF1 112.18)</t>
  </si>
  <si>
    <t xml:space="preserve"> (FF1 112.19)</t>
  </si>
  <si>
    <t xml:space="preserve"> (FF1 112.20)</t>
  </si>
  <si>
    <t>(FF1 112.21)</t>
  </si>
  <si>
    <t>FF1, page 257, Col. (h) - Note 1</t>
  </si>
  <si>
    <t>NOTE 1:  The balance of fair value hedges on outstanding long term debt are to be excluded from the balance of long term debt included in the formula's capital structure. (Page 257 Column H of the FF1)</t>
  </si>
  <si>
    <t>(g)</t>
  </si>
  <si>
    <t>CALCULATION OF HEDGE GAINS/LOSSES TO BE EXCLUDED FROM TCOS</t>
  </si>
  <si>
    <t>Dividends on Preferred Stock (Acct 437, FF1 118.29))</t>
  </si>
  <si>
    <t>Gross Proceeds Outstanding Long-Term Debt</t>
  </si>
  <si>
    <t>Acct 223
LT Advances from Assoc. Companies</t>
  </si>
  <si>
    <t>Acct 224
Senior Unsecured Notes</t>
  </si>
  <si>
    <t>323.197.b (Notes J &amp; M)</t>
  </si>
  <si>
    <r>
      <t>GP</t>
    </r>
    <r>
      <rPr>
        <b/>
        <sz val="12"/>
        <rFont val="Arial"/>
        <family val="2"/>
      </rPr>
      <t>=</t>
    </r>
  </si>
  <si>
    <r>
      <t>NP</t>
    </r>
    <r>
      <rPr>
        <b/>
        <sz val="12"/>
        <rFont val="Arial"/>
        <family val="2"/>
      </rPr>
      <t>=</t>
    </r>
  </si>
  <si>
    <t>GP</t>
  </si>
  <si>
    <t xml:space="preserve"> (Note T)</t>
  </si>
  <si>
    <t>Excess / (Deficit) Deferred Income Taxes will be amortized over the average remaining life of the assets to which it relates, unless the Commission requires a different amortization period. The Tax Effect of Permanent Differences captures the differences in the income taxes due under the Federal and State tax calculations that are not the result of a timing difference, including but not limited to depreciation related to capitalized AFUDC equity and meals and entertainment deductions. The Tax Effect of Flow-Through differences captures current tax expense related to timing differences on items for which tax deductions were used to reduce customer rates through the use of flow-through accounting in a prior period.  Transmission balances for the projected or actual period, will be filed and posted as part of the informational filing.</t>
  </si>
  <si>
    <t>On this worksheet, "Company Records" refers to AEP's tax forecast and accounting ledger.  The PTRR will use</t>
  </si>
  <si>
    <t>projected ending balances and reflect proration required by IRS Letter Rule Section I.I67(I)-I(h)(6)(ii).  Line item detail of actual deferred tax items will be included on Worksheets B-1 and B-2.</t>
  </si>
  <si>
    <t>Stores Expense (Undistributed) - Account 163</t>
  </si>
  <si>
    <t>Prepayment Balance Summary (Note 1)</t>
  </si>
  <si>
    <t>Account 4560015, Associated Business Development - (Company Records - Notes 1, 2)</t>
  </si>
  <si>
    <t>Account 456 - Other Electric Revenues - (Company Records - Notes 1,2)</t>
  </si>
  <si>
    <t>Note 1: The taxes assessed on each transmission company can differ from year to year and between transmission companies by both the type of taxes and the states in which they were assessed.  Therefore, for each company, the types and jurisdictions of tax expense recorded on this page could differ from the same page in the same company's prior year template or from this page in other transmission companies' current year templates. For each update, this sheet will be revised to ensure that the total activity recorded hereon equals the total reported in account 408.1 on P. 114, Ln 14.(c) of the Ferc Form 1.</t>
  </si>
  <si>
    <t>Interest on Long Term Debt - Accts 221 - 224 (256-257.33.i)</t>
  </si>
  <si>
    <t>Amort of Debt Discount &amp; Expense - Acct 428 (117.63.c)</t>
  </si>
  <si>
    <t>Amort of Loss on Reacquired Debt - Acct 428.1 (117.64.c)</t>
  </si>
  <si>
    <t>Less: Amort of Premium on Debt - Acct 429 (117.65.c)</t>
  </si>
  <si>
    <t>Less: Amort of Gain on Reacquired Debt - Acct 429.1 (117.66.c)</t>
  </si>
  <si>
    <t>Prepayment Balance will not include: (i) federal and state income tax payments made to offset additional tax liabilities resulting (or expected to result) from prior federal or state audits or from the filing of one or more amended income tax returns; (ii) outstanding income tax refunds due to [company] resulting (or expected to result) from prior federal or state audits or from the filing of one or more amended income tax returns; or (iii) prepayments of federal or state income taxes which are attributable to income earned during periods prior to January 1 of the year depicted in the Balance Sheet (as described in USofA Account 236).</t>
  </si>
  <si>
    <r>
      <t>Transmission Plant Held For Future Use</t>
    </r>
    <r>
      <rPr>
        <b/>
        <sz val="10"/>
        <rFont val="Arial"/>
        <family val="2"/>
      </rPr>
      <t xml:space="preserve"> (Included in total on line 43)</t>
    </r>
  </si>
  <si>
    <t>Calculation of Post-employment Benefits Other than Pensions Expenses Allocable to Transmission Service</t>
  </si>
  <si>
    <t>Worksheet O - PBOP Support</t>
  </si>
  <si>
    <t>PBOP</t>
  </si>
  <si>
    <t>Calculation of PBOP Expenses</t>
  </si>
  <si>
    <t>AEP System PBOP Rate</t>
  </si>
  <si>
    <t xml:space="preserve">Total AEP System PBOP expenses </t>
  </si>
  <si>
    <t>Base Year relating to retired personnel</t>
  </si>
  <si>
    <t xml:space="preserve">Amount allocated on Labor </t>
  </si>
  <si>
    <t>Total AEP System Direct Labor Expense</t>
  </si>
  <si>
    <t>AEP System PBOP expense per dollar of direct labor (PBOP Rate)</t>
  </si>
  <si>
    <t>Currently Approved PBOP Rate</t>
  </si>
  <si>
    <t>Base PBOP TransCo labor expensed in current year</t>
  </si>
  <si>
    <t>Direct PBOP Expense per Actuarial Report</t>
  </si>
  <si>
    <t>Additional PBOP Ledger Entry (From Company Records)</t>
  </si>
  <si>
    <t>Medicare Credit</t>
  </si>
  <si>
    <t>PBOP Expenses From AEP Affiliates (From Company Records)</t>
  </si>
  <si>
    <t xml:space="preserve">Actual PBOP Expense </t>
  </si>
  <si>
    <t>PBOP Adjustment</t>
  </si>
  <si>
    <t>Note: PBOP Expense will be calculated in accordance with the settlement in Docket ER10-355.</t>
  </si>
  <si>
    <t>As part of the annual update process, AEP will provide to transmission customers and include in its informational filing an independently prepared actuarial report that includes a ten (10) year forecast of PBOP expenses.  During the annual update process conducted for rate year 2018 and every four years thereafter, Worksheet O will be used to determine whether the PBOP allowance rate ($PBOP per $Direct O&amp;M Labor) should be adjusted going forward for the next four years.  If the annual actuarial report issued during the year of any PBOP rate review projects PBOP costs during the next four years that, when allocated to the AEP Transmission Companies based on their projected direct labor expenses over that same projected four-year period, absent a change in the PBOP Rate, will likely cause the AEP East Transmission Companies to over or under collect their cumulative PBOP expenses by more than 20% of the projected next four year’s total PBOP expense, taking into account the net over or under collection of such expenses during the previous four years, the PBOP rate shall be adjusted.  In order to determine whether continued use of the then approved PBOP rate is likely to result in the AEP Companies’ incurrence of a cumulative allowance of PBOP costs under the formula rate will result in a cumulative over or under-recoery of actual PBOP expenses exceeding 20% over the subsequent four year period, Worksheet O will be used to determine (a) the level of cumulative over or under collections of PBOP expense during the time since the PBOP allowance rate was last set, including carrying costs based on the weighted average cost of capital each year from the formula rate actual transmission cost-of-service (b) the cumulative net present value of projected PBOP costs during the next four years as estimated by the then current actuarial report, assuming a discount rate equal to the actual transmission cost of service average cost of capital for the immediately prior calendar year and (c) the cumulative net present value of continued collections over the next four years based on the projected AEP Transmission Companies direct labor expenses and the then effective PBOP allowance rate assuming a discount rate equal to the prior year weighted average cost of capital.  If the absolute value of (a)+(b)-(c) exceeds 20% of (b), then the PBOP allowance rate used in the formula rate calculation shall be changed to the value that will cause the projected result of (a)+(b)-(c) to equal zero.  If the projected over or under collection during the next four years, (a)+(b)-(c), is less than 20% of (b), then the PBOP Rate will continue in effect for the next four years at the then effective rate.  If it is determined through this procedure AEP Companies will over-recover or under-recover actual PBOP expenses by more than 20% over the subsequent four-year period, AEP shall make a filing under FPA Section 205 to change the PBOP Rate  stated in the formula rate shown on Worksheet O.  No other changes to the formula rate may be included in that filing.</t>
  </si>
  <si>
    <t>The Post-employment Benefit Other than Pension (PBOP) expense is fixed based on an approved ratio of PBOP expense to direct labor expense.</t>
  </si>
  <si>
    <t>See note K above. Recoverable PBOP expense is based on a rate of $(0.058) cents per dollar of direct labor.  This rate may be adjusted up or down every four years based on a comparison of the Allowable TransCo PBOP Expense and the Actual PBOP Expense for a four year Historic and four year Projected  period.  If the over or under collection is greater than plus or minus 20% of the recoverable amount, an adjustment will be proposed in a Section 205 rate filing.</t>
  </si>
  <si>
    <t>Transmission Plant Balances in this study are projected or actual average 13 month balances.</t>
  </si>
  <si>
    <t>AEP Appalachian Transmission Company</t>
  </si>
  <si>
    <t xml:space="preserve">Interest Rate on Amount of Refunds or </t>
  </si>
  <si>
    <t>Surcharges (Note 1)</t>
  </si>
  <si>
    <t xml:space="preserve">Tennessee Excise Tax Rate </t>
  </si>
  <si>
    <t>Virginia State Tax Rate</t>
  </si>
  <si>
    <t>Capital Structure Equity Limit (Note Z)</t>
  </si>
  <si>
    <t>Cap Limit</t>
  </si>
  <si>
    <t>Actual</t>
  </si>
  <si>
    <t>Z</t>
  </si>
  <si>
    <t xml:space="preserve">Per the settlement in EL17-13, equity is limited to 55% in of the Company's capital structure.  If the percentage of actual equity exceeds the cap, the excess is included as long term debt in the capital structure.  </t>
  </si>
  <si>
    <t>Common Stock cost rate (ROE) = 10.35%, per the Settlement in FERC Docket No. EL17-13.  It includes an additional 50 basis points for PJM RTO membership.  All Transmission Companies other than AEP Appalachian Transmission Company utilize their own capital structure and costs as shown on Worksheet M.  The calculations on Worksheet M will use the projected or actual 13 month average balances of long-term debt, common and preferred equity and calendar year long term debt interest expenses, preferred dividends and approved ROE.  The long term debt balances and long term debt cost rate shall not include any amounts related to hedging activity.  As shown on Worksheet Q, the AEP Appalachian Transmission Company capital structure and weighted cost of capital (WACC) shall be based on the weighted composite of the AEP East Operating Companies beginning and ending average outstanding LTD and PS issuances with the common equity portion in Docket No. ER08-1329, and (2) the weighted composite LTD and PS cost using projected or actual calendar year LTD expense and PS dividends of the AEP East Operating Companies excluding all interest rate hedging costs and/or gains, until the Company establishes its own actual capital structure.</t>
  </si>
  <si>
    <t>Stores Equipment</t>
  </si>
  <si>
    <t>Laboratory Equipment</t>
  </si>
  <si>
    <t>GENERAL PLANT</t>
  </si>
  <si>
    <t>APPALACHAIN TRANSMISSION COMPANY, INC.</t>
  </si>
  <si>
    <t>Worksheet B-3</t>
  </si>
  <si>
    <t>Excess/ Deficient ADIT Worksheet</t>
  </si>
  <si>
    <t>Debit/(Credit)</t>
  </si>
  <si>
    <t xml:space="preserve">I </t>
  </si>
  <si>
    <t xml:space="preserve">J </t>
  </si>
  <si>
    <t>Balance Sheet Entries</t>
  </si>
  <si>
    <t>Tax Expense Entries</t>
  </si>
  <si>
    <t xml:space="preserve">Line No. </t>
  </si>
  <si>
    <t>Account (NOTE A)</t>
  </si>
  <si>
    <t>Description of Account</t>
  </si>
  <si>
    <t>Protected
Unprotected</t>
  </si>
  <si>
    <t>Tax Rate Change Act</t>
  </si>
  <si>
    <t>Excess Balance at Remeasurement</t>
  </si>
  <si>
    <t>Amortization Methodology (NOTE C)</t>
  </si>
  <si>
    <t>Amotization Period</t>
  </si>
  <si>
    <t>Excess ADIT Regulatory  Offset</t>
  </si>
  <si>
    <t>Excess ADIT in Utility Deferrals</t>
  </si>
  <si>
    <t>Balance Sheet Account Reclassifications</t>
  </si>
  <si>
    <t>410/411
Excess Amortization NOTE C</t>
  </si>
  <si>
    <t>410/411 Deferred Tax Expense/ (Benefit)</t>
  </si>
  <si>
    <t>Reference</t>
  </si>
  <si>
    <t>Sum of Cols (I) - (O)</t>
  </si>
  <si>
    <t>Deferred Tax Account (NOTE B)</t>
  </si>
  <si>
    <t>1a</t>
  </si>
  <si>
    <r>
      <t>190</t>
    </r>
    <r>
      <rPr>
        <sz val="9"/>
        <color indexed="10"/>
        <rFont val="Arial"/>
        <family val="2"/>
      </rPr>
      <t>4</t>
    </r>
    <r>
      <rPr>
        <sz val="9"/>
        <rFont val="Arial"/>
        <family val="2"/>
      </rPr>
      <t>001</t>
    </r>
  </si>
  <si>
    <t xml:space="preserve">ADFIT - FAS 109 Excess </t>
  </si>
  <si>
    <t>N/A</t>
  </si>
  <si>
    <t>TCJA 2017</t>
  </si>
  <si>
    <t>WS B - 2 Col B/C, ADIT Item 2.11</t>
  </si>
  <si>
    <t>1b</t>
  </si>
  <si>
    <r>
      <t>282</t>
    </r>
    <r>
      <rPr>
        <sz val="9"/>
        <color indexed="10"/>
        <rFont val="Arial"/>
        <family val="2"/>
      </rPr>
      <t>1</t>
    </r>
    <r>
      <rPr>
        <sz val="9"/>
        <rFont val="Arial"/>
        <family val="2"/>
      </rPr>
      <t>001</t>
    </r>
  </si>
  <si>
    <t>ADFIT - Utility Property</t>
  </si>
  <si>
    <t>Protected</t>
  </si>
  <si>
    <t>ARAM</t>
  </si>
  <si>
    <t>Life of Asset</t>
  </si>
  <si>
    <t>1c</t>
  </si>
  <si>
    <t>Unprotected</t>
  </si>
  <si>
    <t>10 Years</t>
  </si>
  <si>
    <t>1/2018 - 12/2027</t>
  </si>
  <si>
    <t>WS B - 1 Col N, ADIT Item 5.11</t>
  </si>
  <si>
    <t>1d</t>
  </si>
  <si>
    <r>
      <t>282</t>
    </r>
    <r>
      <rPr>
        <sz val="9"/>
        <color indexed="10"/>
        <rFont val="Arial"/>
        <family val="2"/>
      </rPr>
      <t>4</t>
    </r>
    <r>
      <rPr>
        <sz val="9"/>
        <rFont val="Arial"/>
        <family val="2"/>
      </rPr>
      <t>001</t>
    </r>
  </si>
  <si>
    <t>ADFIT - Utility Property FAS 109 Excess</t>
  </si>
  <si>
    <t>1e</t>
  </si>
  <si>
    <t>1f</t>
  </si>
  <si>
    <r>
      <t>283</t>
    </r>
    <r>
      <rPr>
        <sz val="9"/>
        <color indexed="10"/>
        <rFont val="Arial"/>
        <family val="2"/>
      </rPr>
      <t>1</t>
    </r>
    <r>
      <rPr>
        <sz val="9"/>
        <rFont val="Arial"/>
        <family val="2"/>
      </rPr>
      <t>001</t>
    </r>
  </si>
  <si>
    <t>ADFIT - Other Utility Deferrals</t>
  </si>
  <si>
    <t>WS B - 1 Col N, ADIT Item 9.03</t>
  </si>
  <si>
    <t>1g</t>
  </si>
  <si>
    <r>
      <t>283</t>
    </r>
    <r>
      <rPr>
        <sz val="9"/>
        <color indexed="10"/>
        <rFont val="Arial"/>
        <family val="2"/>
      </rPr>
      <t>4</t>
    </r>
    <r>
      <rPr>
        <sz val="9"/>
        <rFont val="Arial"/>
        <family val="2"/>
      </rPr>
      <t>001</t>
    </r>
  </si>
  <si>
    <t>ADFIT - Other FAS 109 Excess</t>
  </si>
  <si>
    <t>WS B - 1 Col B/C, ADIT Item 9.08</t>
  </si>
  <si>
    <t>1h</t>
  </si>
  <si>
    <t>NOTE  D</t>
  </si>
  <si>
    <t>Regulatory Deferral Accounts</t>
  </si>
  <si>
    <t>2a</t>
  </si>
  <si>
    <t xml:space="preserve">Regulatory Asset  </t>
  </si>
  <si>
    <t xml:space="preserve"> Company Records</t>
  </si>
  <si>
    <t>2b</t>
  </si>
  <si>
    <t>Regulatory Liability</t>
  </si>
  <si>
    <t>FERC Form 1 p. 278 Ln. 3 Cols, (b) /(f)</t>
  </si>
  <si>
    <t>2c</t>
  </si>
  <si>
    <r>
      <t xml:space="preserve">NOTE </t>
    </r>
    <r>
      <rPr>
        <sz val="9"/>
        <color indexed="10"/>
        <rFont val="Arial"/>
        <family val="2"/>
      </rPr>
      <t>E</t>
    </r>
  </si>
  <si>
    <t>NOTE A</t>
  </si>
  <si>
    <t xml:space="preserve">In order to ensure ratebase neutrality, AEP utilizes the fourth digit of its seven digit FERC Tax subaccount numbers to identify balances associated with uitlity operations vs regulatory reporting requirements.  A "1" in the fourth digit of a FERC tax account refers to the utility operations balance or entry.  Accounts with the "1" designation will be included in the determination of ratebase to be recovered in the formula rate.   A "4"  in the four place of the account number indicates accounts used to track regulatory accounting requirements.  The excess ADIT amounts recorded in accounts with the  "4" designation will be contra to the "1" balance, which will ensure that in the formula rate the excess amount will be part of ratebase, but at the total FERC account level the tax asset or liability will be recorded at the current Federal FIT rate.   The amounts recored in the "4" will be offset on a net basis in  the regulatory asset or liability subaccount established for this purpose. </t>
  </si>
  <si>
    <t>NOTE B:</t>
  </si>
  <si>
    <t>The amount of the FIT gross up to recorded on regulatory assets and liabilities will be reported on the first line of ADIT accounts provided for each specific change in tax rates.</t>
  </si>
  <si>
    <t>NOTE C:</t>
  </si>
  <si>
    <r>
      <t xml:space="preserve">The ten year amortization period for unprotected excess ADIT is consistent with the period agreed upon by the Company and its customers and approved for the Company's PJM formula rates. </t>
    </r>
    <r>
      <rPr>
        <i/>
        <sz val="9"/>
        <rFont val="Arial"/>
        <family val="2"/>
      </rPr>
      <t xml:space="preserve">Appalachian Power Company, et al, 166 FERC ¶ 61,135 (2019). </t>
    </r>
  </si>
  <si>
    <t>NOTE D:</t>
  </si>
  <si>
    <t xml:space="preserve"> In  the event of future tax rate changes, additional lines will be inserted as required to reflect  any new ADIT or regulatory deferral accounts that may be necessary to track that tax rate change.</t>
  </si>
  <si>
    <t>NOTE E:</t>
  </si>
  <si>
    <t>9302000</t>
  </si>
  <si>
    <t>Misc General Expenses</t>
  </si>
  <si>
    <t>9302003</t>
  </si>
  <si>
    <t>Corporate &amp; Fiscal Expenses</t>
  </si>
  <si>
    <t>9302007</t>
  </si>
  <si>
    <t>Assoc Business Development Exp</t>
  </si>
  <si>
    <t>Electric Storage Equipment (4)</t>
  </si>
  <si>
    <t>Structures &amp; Improvements</t>
  </si>
  <si>
    <t>Station Equipment</t>
  </si>
  <si>
    <t xml:space="preserve">Towers &amp; Fixtures  </t>
  </si>
  <si>
    <t>Poles &amp; Fixtures</t>
  </si>
  <si>
    <t>OH Conductor &amp; Devices</t>
  </si>
  <si>
    <t>Underground Conduit</t>
  </si>
  <si>
    <t>Underground Conductor</t>
  </si>
  <si>
    <t>Office Furniture &amp; Equipment</t>
  </si>
  <si>
    <t>Transportation Equipment</t>
  </si>
  <si>
    <t>Tools Shop &amp; Garage Equipment</t>
  </si>
  <si>
    <t>Communication Equipment</t>
  </si>
  <si>
    <t>Miscellaneous Equipment</t>
  </si>
  <si>
    <t>WS B - 1 Col N, ADIT Item 5.12</t>
  </si>
  <si>
    <t>WS B - 1 Col B/C, ADIT Item 5.13</t>
  </si>
  <si>
    <t>12/31/2022 Ending Balance</t>
  </si>
  <si>
    <t>1/1/2022 Beginning  Balances</t>
  </si>
  <si>
    <t>For Year Ended December 31, 2023</t>
  </si>
  <si>
    <t>9302004</t>
  </si>
  <si>
    <t>1650001</t>
  </si>
  <si>
    <t>Prepaid Insurance</t>
  </si>
  <si>
    <t>Prepaid Insurance - EIS</t>
  </si>
  <si>
    <t>1650024</t>
  </si>
  <si>
    <t>Research, Develop&amp;Demonstr Exp</t>
  </si>
  <si>
    <t>9280000</t>
  </si>
  <si>
    <t>Regulatory Commission Exp</t>
  </si>
  <si>
    <t>9280001</t>
  </si>
  <si>
    <t>Regulatory Commission Exp-Adm</t>
  </si>
  <si>
    <t>9280002</t>
  </si>
  <si>
    <t>Regulatory Commission Exp-Case</t>
  </si>
  <si>
    <t>9280005</t>
  </si>
  <si>
    <t>Reg Com Exp-FERC Trans Cases</t>
  </si>
  <si>
    <t>9301000</t>
  </si>
  <si>
    <t>General Advertising Expenses</t>
  </si>
  <si>
    <t>9301001</t>
  </si>
  <si>
    <t>Newspaper Advertising Space</t>
  </si>
  <si>
    <t>9301010</t>
  </si>
  <si>
    <t>Publicity</t>
  </si>
  <si>
    <t>9301012</t>
  </si>
  <si>
    <t>Public Opinion Surveys</t>
  </si>
  <si>
    <t>9301014</t>
  </si>
  <si>
    <t>Video Communications</t>
  </si>
  <si>
    <t>9301015</t>
  </si>
  <si>
    <t>Other Corporate Comm Exp</t>
  </si>
  <si>
    <t>AEP EAST TRANSMISSION COMPANIES</t>
  </si>
  <si>
    <t>Docket ER20-1888-000</t>
  </si>
  <si>
    <t>AEP APPALACHIAN TRANSMISSION COMPANY</t>
  </si>
  <si>
    <t>Compliance Filing</t>
  </si>
  <si>
    <t>ATTACHMENT H-20B</t>
  </si>
  <si>
    <t>Attachment 12</t>
  </si>
  <si>
    <t>WORKSHEET B-3-A</t>
  </si>
  <si>
    <t>Page 1 of 5</t>
  </si>
  <si>
    <t>TAX REMEASUREMENT  WORKSHEET</t>
  </si>
  <si>
    <t>TAX CUT and JOBS ACT of  2017</t>
  </si>
  <si>
    <t>F=E/C</t>
  </si>
  <si>
    <t>H = E + G</t>
  </si>
  <si>
    <t>J = C - H</t>
  </si>
  <si>
    <t>Line No.</t>
  </si>
  <si>
    <t xml:space="preserve">Utility Account </t>
  </si>
  <si>
    <t>12/31/17 Pre-remeasurement Balance</t>
  </si>
  <si>
    <t>Remeasurement Amount (NOTE 1)</t>
  </si>
  <si>
    <t>Remeasurement Percentage (NOTE 2)</t>
  </si>
  <si>
    <t>190/283 Recalss (NOTE 3)</t>
  </si>
  <si>
    <t>Total Excess/Deficiency by Account (NOTE 4)</t>
  </si>
  <si>
    <t>Protected / Unprotected</t>
  </si>
  <si>
    <t>ADIT Deferral After Remeasurement</t>
  </si>
  <si>
    <t>190 Utility Balance</t>
  </si>
  <si>
    <t>2018 FF1 P. 234 Col (b) Line 8</t>
  </si>
  <si>
    <t>Less: Deferred State Taxes</t>
  </si>
  <si>
    <t>1901001</t>
  </si>
  <si>
    <t>2821001</t>
  </si>
  <si>
    <t>2018 FF1 P. 274 Col (b) Line 5</t>
  </si>
  <si>
    <t>283 Utility Balance</t>
  </si>
  <si>
    <t>2018 FF1 P. 276 Col (b) Line 9</t>
  </si>
  <si>
    <t>Less: Accum Deferred SIT -Other</t>
  </si>
  <si>
    <t>2831001</t>
  </si>
  <si>
    <t xml:space="preserve">GENERAL NOTE:  This worksheet will summarize remeasurement adjustments in ADIT Accounts required by changes in either Federal or State Income Tax Rates.  A new sheet will be included in the working formula for each change to tax rates that may occur while this formula rate is in effect. New pages will be designated by incrementing the suffix letter in the workpaper name (i.e. B-3-A, B-3-B, etc.)  </t>
  </si>
  <si>
    <t xml:space="preserve">NOTE 1: </t>
  </si>
  <si>
    <t xml:space="preserve">Amount of Remeasurement in Column E will be based on supporting workpapers showing the remeasurement of individual ADIT items in each tax deferral account, and will indicate whether each remeasured ADIT item will be treated as protected or unprotected.  The resulting totals will be shown on this worksheet for each ADIT account. </t>
  </si>
  <si>
    <t>NOTE 2:</t>
  </si>
  <si>
    <t xml:space="preserve">Remeasurement calculation may not equal 40% of the December 31, 2017  deferral balance because of specific ADIT items that are not subject to remeasurement. </t>
  </si>
  <si>
    <t>NOTE 3:</t>
  </si>
  <si>
    <t>As part of the remeasurement calculation, the remeasurement ADIT balances in account 1901001 were reclassed to account 2831001 to group nonproperty utility deferrals together as one timing difference.</t>
  </si>
  <si>
    <t>NOTE 4:</t>
  </si>
  <si>
    <t>Ties to Transmission Company's Workpaper B-3, Column F, showing the intial remeasurement value determined as a result of the Tax Cut and Jobs Act of 2017.</t>
  </si>
  <si>
    <t>EFFECTIVE AS OF JANUARY 1, 2023</t>
  </si>
  <si>
    <r>
      <t xml:space="preserve">Note: </t>
    </r>
    <r>
      <rPr>
        <sz val="12"/>
        <rFont val="Arial MT"/>
      </rPr>
      <t xml:space="preserve">APCo Transco Depreciation Rates are based on the APCO VA Depr Study to be filed in Case No. PUR-2022-00002. </t>
    </r>
  </si>
  <si>
    <t>2023 Collections</t>
  </si>
  <si>
    <t>2023 Forecasted Revenue Requirement For Year 2023</t>
  </si>
  <si>
    <t>Transmission Accumulated Depreciation net of GSU, and Other Excludable Balances (Ln 28d - 42c - 42e)</t>
  </si>
  <si>
    <t>An over or under collection will be recovered prorata over 2023, held for 2024 and returned prorate over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</si>
</sst>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1">
    <numFmt numFmtId="5" formatCode="&quot;$&quot;#,##0_);\(&quot;$&quot;#,##0\)"/>
    <numFmt numFmtId="6" formatCode="&quot;$&quot;#,##0_);[Red]\(&quot;$&quot;#,##0\)"/>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0.000%"/>
    <numFmt numFmtId="165" formatCode="#,##0.00000"/>
    <numFmt numFmtId="166" formatCode="0.00000"/>
    <numFmt numFmtId="167" formatCode="#,##0.0000"/>
    <numFmt numFmtId="168" formatCode="#,##0.000"/>
    <numFmt numFmtId="169" formatCode="0.0000"/>
    <numFmt numFmtId="170" formatCode="&quot;$&quot;#,##0"/>
    <numFmt numFmtId="171" formatCode="&quot;$&quot;#,##0.000"/>
    <numFmt numFmtId="172" formatCode="&quot;$&quot;#,##0.00"/>
    <numFmt numFmtId="173" formatCode="_(* #,##0_);_(* \(#,##0\);_(* &quot;-&quot;??_);_(@_)"/>
    <numFmt numFmtId="174" formatCode="_(&quot;$&quot;* #,##0_);_(&quot;$&quot;* \(#,##0\);_(&quot;$&quot;* &quot;-&quot;??_);_(@_)"/>
    <numFmt numFmtId="175" formatCode="&quot;$&quot;#,##0.000000000000"/>
    <numFmt numFmtId="176" formatCode="0.0000%"/>
    <numFmt numFmtId="177" formatCode="_(* #,##0.0_);_(* \(#,##0.0\);_(* &quot;-&quot;??_);_(@_)"/>
    <numFmt numFmtId="178" formatCode="0.000000"/>
    <numFmt numFmtId="179" formatCode="_(* #,##0.0000_);_(* \(#,##0.0000\);_(* &quot;-&quot;_);_(@_)"/>
    <numFmt numFmtId="180" formatCode="_(* #,##0.00000_);_(* \(#,##0.00000\);_(* &quot;-&quot;_);_(@_)"/>
    <numFmt numFmtId="181" formatCode="_(* #,##0.0000000000_);_(* \(#,##0.0000000000\);_(* &quot;-&quot;_);_(@_)"/>
    <numFmt numFmtId="182" formatCode="_(* #,##0.00000_);_(* \(#,##0.00000\);_(* &quot;-&quot;??_);_(@_)"/>
    <numFmt numFmtId="183" formatCode="#,##0.0000000"/>
    <numFmt numFmtId="184" formatCode="_(* #,##0.0000000_);_(* \(#,##0.0000000\);_(* &quot;-&quot;_);_(@_)"/>
    <numFmt numFmtId="185" formatCode="#,##0\ ;\(#,##0\)"/>
    <numFmt numFmtId="186" formatCode="_(* #,##0.0000_);_(* \(#,##0.0000\);_(* &quot;-&quot;??_);_(@_)"/>
    <numFmt numFmtId="187" formatCode="0.0%"/>
    <numFmt numFmtId="188" formatCode="_(* #,##0.000_);_(* \(#,##0.000\);_(* &quot;-&quot;_);_(@_)"/>
    <numFmt numFmtId="189" formatCode="#,##0.000000"/>
    <numFmt numFmtId="190" formatCode="mmmm\ d\,\ yyyy"/>
    <numFmt numFmtId="191" formatCode="m/d/yy;@"/>
    <numFmt numFmtId="192" formatCode="0.000000%"/>
    <numFmt numFmtId="193" formatCode="0_);\(0\)"/>
    <numFmt numFmtId="194" formatCode="0.0"/>
    <numFmt numFmtId="195" formatCode="&quot;$&quot;#,##0.0000"/>
    <numFmt numFmtId="196" formatCode="_(* #,##0.00_);_(* \(#,##0.00\);_(* &quot;-&quot;_);_(@_)"/>
    <numFmt numFmtId="197" formatCode="[$-409]mmmm\-yy;@"/>
    <numFmt numFmtId="198" formatCode="mm/dd/yy"/>
  </numFmts>
  <fonts count="157">
    <font>
      <sz val="10"/>
      <name val="Arial"/>
    </font>
    <font>
      <sz val="11"/>
      <color theme="1"/>
      <name val="Calibri"/>
      <family val="2"/>
      <scheme val="minor"/>
    </font>
    <font>
      <sz val="10"/>
      <name val="Arial"/>
      <family val="2"/>
    </font>
    <font>
      <sz val="12"/>
      <name val="Arial MT"/>
    </font>
    <font>
      <b/>
      <sz val="14"/>
      <name val="Arial"/>
      <family val="2"/>
    </font>
    <font>
      <sz val="12"/>
      <name val="Arial"/>
      <family val="2"/>
    </font>
    <font>
      <b/>
      <sz val="12"/>
      <name val="Arial"/>
      <family val="2"/>
    </font>
    <font>
      <b/>
      <sz val="10"/>
      <color indexed="10"/>
      <name val="Arial"/>
      <family val="2"/>
    </font>
    <font>
      <sz val="10"/>
      <color indexed="12"/>
      <name val="Arial"/>
      <family val="2"/>
    </font>
    <font>
      <b/>
      <sz val="10"/>
      <name val="Arial"/>
      <family val="2"/>
    </font>
    <font>
      <b/>
      <u/>
      <sz val="12"/>
      <name val="Arial"/>
      <family val="2"/>
    </font>
    <font>
      <b/>
      <sz val="16"/>
      <name val="Arial"/>
      <family val="2"/>
    </font>
    <font>
      <sz val="10"/>
      <name val="Arial"/>
      <family val="2"/>
    </font>
    <font>
      <u/>
      <sz val="10"/>
      <name val="Arial"/>
      <family val="2"/>
    </font>
    <font>
      <u/>
      <sz val="12"/>
      <name val="Arial"/>
      <family val="2"/>
    </font>
    <font>
      <sz val="10"/>
      <name val="Times New Roman"/>
      <family val="1"/>
    </font>
    <font>
      <i/>
      <sz val="10"/>
      <name val="Arial"/>
      <family val="2"/>
    </font>
    <font>
      <b/>
      <u/>
      <sz val="10"/>
      <name val="Arial"/>
      <family val="2"/>
    </font>
    <font>
      <sz val="14"/>
      <name val="Arial"/>
      <family val="2"/>
    </font>
    <font>
      <sz val="12"/>
      <color indexed="12"/>
      <name val="Arial"/>
      <family val="2"/>
    </font>
    <font>
      <sz val="10"/>
      <color indexed="12"/>
      <name val="Arial"/>
      <family val="2"/>
    </font>
    <font>
      <b/>
      <sz val="12"/>
      <color indexed="12"/>
      <name val="Arial"/>
      <family val="2"/>
    </font>
    <font>
      <sz val="10"/>
      <color indexed="10"/>
      <name val="Arial"/>
      <family val="2"/>
    </font>
    <font>
      <sz val="12"/>
      <color indexed="10"/>
      <name val="Arial"/>
      <family val="2"/>
    </font>
    <font>
      <sz val="9"/>
      <name val="Arial"/>
      <family val="2"/>
    </font>
    <font>
      <b/>
      <sz val="9"/>
      <name val="Arial"/>
      <family val="2"/>
    </font>
    <font>
      <sz val="12"/>
      <name val="Arial"/>
      <family val="2"/>
    </font>
    <font>
      <sz val="12"/>
      <color indexed="12"/>
      <name val="Arial"/>
      <family val="2"/>
    </font>
    <font>
      <i/>
      <sz val="12"/>
      <name val="Arial"/>
      <family val="2"/>
    </font>
    <font>
      <b/>
      <sz val="12"/>
      <color indexed="10"/>
      <name val="Helv"/>
    </font>
    <font>
      <b/>
      <sz val="12"/>
      <color indexed="10"/>
      <name val="Arial Narrow"/>
      <family val="2"/>
    </font>
    <font>
      <b/>
      <sz val="18"/>
      <name val="Arial"/>
      <family val="2"/>
    </font>
    <font>
      <sz val="10"/>
      <name val="Arial"/>
      <family val="2"/>
    </font>
    <font>
      <sz val="10"/>
      <name val="MS Sans Serif"/>
      <family val="2"/>
    </font>
    <font>
      <b/>
      <sz val="10"/>
      <name val="MS Sans Serif"/>
      <family val="2"/>
    </font>
    <font>
      <sz val="11"/>
      <color indexed="8"/>
      <name val="Arial Narrow"/>
      <family val="2"/>
    </font>
    <font>
      <sz val="11"/>
      <color indexed="9"/>
      <name val="Arial Narrow"/>
      <family val="2"/>
    </font>
    <font>
      <sz val="11"/>
      <color indexed="20"/>
      <name val="Arial Narrow"/>
      <family val="2"/>
    </font>
    <font>
      <sz val="8"/>
      <name val="Arial"/>
      <family val="2"/>
    </font>
    <font>
      <b/>
      <i/>
      <sz val="14"/>
      <name val="Arial"/>
      <family val="2"/>
    </font>
    <font>
      <b/>
      <sz val="11"/>
      <name val="Arial"/>
      <family val="2"/>
    </font>
    <font>
      <b/>
      <sz val="24"/>
      <name val="Arial Narrow"/>
      <family val="2"/>
    </font>
    <font>
      <b/>
      <i/>
      <sz val="12"/>
      <name val="Arial"/>
      <family val="2"/>
    </font>
    <font>
      <sz val="9"/>
      <color indexed="18"/>
      <name val="Arial"/>
      <family val="2"/>
    </font>
    <font>
      <i/>
      <sz val="10"/>
      <color indexed="18"/>
      <name val="Arial"/>
      <family val="2"/>
    </font>
    <font>
      <sz val="10"/>
      <color indexed="18"/>
      <name val="Arial"/>
      <family val="2"/>
    </font>
    <font>
      <sz val="8"/>
      <color indexed="18"/>
      <name val="Arial"/>
      <family val="2"/>
    </font>
    <font>
      <i/>
      <sz val="9"/>
      <color indexed="18"/>
      <name val="Arial"/>
      <family val="2"/>
    </font>
    <font>
      <b/>
      <sz val="11"/>
      <color indexed="52"/>
      <name val="Arial Narrow"/>
      <family val="2"/>
    </font>
    <font>
      <b/>
      <sz val="11"/>
      <color indexed="9"/>
      <name val="Arial Narrow"/>
      <family val="2"/>
    </font>
    <font>
      <i/>
      <sz val="11"/>
      <color indexed="23"/>
      <name val="Arial Narrow"/>
      <family val="2"/>
    </font>
    <font>
      <sz val="11"/>
      <color indexed="17"/>
      <name val="Arial Narrow"/>
      <family val="2"/>
    </font>
    <font>
      <b/>
      <sz val="11"/>
      <color indexed="56"/>
      <name val="Arial Narrow"/>
      <family val="2"/>
    </font>
    <font>
      <b/>
      <sz val="14"/>
      <name val="Book Antiqua"/>
      <family val="1"/>
    </font>
    <font>
      <i/>
      <sz val="10"/>
      <name val="Book Antiqua"/>
      <family val="1"/>
    </font>
    <font>
      <sz val="11"/>
      <color indexed="62"/>
      <name val="Arial Narrow"/>
      <family val="2"/>
    </font>
    <font>
      <sz val="11"/>
      <color indexed="52"/>
      <name val="Arial Narrow"/>
      <family val="2"/>
    </font>
    <font>
      <sz val="11"/>
      <color indexed="60"/>
      <name val="Arial Narrow"/>
      <family val="2"/>
    </font>
    <font>
      <b/>
      <sz val="11"/>
      <color indexed="63"/>
      <name val="Arial Narrow"/>
      <family val="2"/>
    </font>
    <font>
      <sz val="8"/>
      <color indexed="38"/>
      <name val="Arial"/>
      <family val="2"/>
    </font>
    <font>
      <b/>
      <i/>
      <sz val="16"/>
      <name val="Arial"/>
      <family val="2"/>
    </font>
    <font>
      <b/>
      <sz val="12"/>
      <color indexed="32"/>
      <name val="Arial"/>
      <family val="2"/>
    </font>
    <font>
      <i/>
      <sz val="11"/>
      <name val="Arial"/>
      <family val="2"/>
    </font>
    <font>
      <sz val="11"/>
      <name val="Arial"/>
      <family val="2"/>
    </font>
    <font>
      <b/>
      <sz val="18"/>
      <color indexed="56"/>
      <name val="Cambria"/>
      <family val="2"/>
    </font>
    <font>
      <sz val="11"/>
      <color indexed="10"/>
      <name val="Arial Narrow"/>
      <family val="2"/>
    </font>
    <font>
      <b/>
      <sz val="14"/>
      <name val="MS Serif"/>
      <family val="1"/>
    </font>
    <font>
      <sz val="10"/>
      <name val="MS Serif"/>
      <family val="1"/>
    </font>
    <font>
      <b/>
      <sz val="10"/>
      <color indexed="8"/>
      <name val="Arial"/>
      <family val="2"/>
    </font>
    <font>
      <b/>
      <sz val="10"/>
      <color indexed="12"/>
      <name val="Arial"/>
      <family val="2"/>
    </font>
    <font>
      <sz val="10"/>
      <name val="Helv"/>
    </font>
    <font>
      <sz val="14"/>
      <name val="Helv"/>
    </font>
    <font>
      <sz val="14"/>
      <color indexed="12"/>
      <name val="Arial"/>
      <family val="2"/>
    </font>
    <font>
      <b/>
      <u/>
      <sz val="14"/>
      <name val="Helv"/>
    </font>
    <font>
      <b/>
      <sz val="14"/>
      <name val="Helv"/>
    </font>
    <font>
      <sz val="14"/>
      <name val="Arial"/>
      <family val="2"/>
    </font>
    <font>
      <sz val="12"/>
      <name val="Helv"/>
    </font>
    <font>
      <b/>
      <sz val="12"/>
      <name val="Arial MT"/>
    </font>
    <font>
      <sz val="14"/>
      <color indexed="12"/>
      <name val="Helv"/>
    </font>
    <font>
      <u/>
      <sz val="14"/>
      <name val="Helv"/>
    </font>
    <font>
      <b/>
      <sz val="10"/>
      <color indexed="10"/>
      <name val="Arial Narrow"/>
      <family val="2"/>
    </font>
    <font>
      <b/>
      <u/>
      <sz val="14"/>
      <name val="Arial"/>
      <family val="2"/>
    </font>
    <font>
      <u/>
      <sz val="12"/>
      <name val="Arial MT"/>
    </font>
    <font>
      <u/>
      <sz val="12"/>
      <name val="Times New Roman"/>
      <family val="1"/>
    </font>
    <font>
      <sz val="14"/>
      <color indexed="23"/>
      <name val="Helv"/>
    </font>
    <font>
      <sz val="12"/>
      <color indexed="10"/>
      <name val="Arial MT"/>
    </font>
    <font>
      <b/>
      <strike/>
      <u/>
      <sz val="10"/>
      <color indexed="10"/>
      <name val="Arial"/>
      <family val="2"/>
    </font>
    <font>
      <strike/>
      <u/>
      <sz val="10"/>
      <color indexed="10"/>
      <name val="Arial"/>
      <family val="2"/>
    </font>
    <font>
      <sz val="8"/>
      <name val="Arial"/>
      <family val="2"/>
    </font>
    <font>
      <strike/>
      <sz val="14"/>
      <color indexed="10"/>
      <name val="Helv"/>
    </font>
    <font>
      <b/>
      <i/>
      <u/>
      <sz val="12"/>
      <name val="Arial"/>
      <family val="2"/>
    </font>
    <font>
      <b/>
      <sz val="10"/>
      <name val="Times New Roman"/>
      <family val="1"/>
    </font>
    <font>
      <b/>
      <sz val="12"/>
      <name val="Times New Roman"/>
      <family val="1"/>
    </font>
    <font>
      <strike/>
      <sz val="12"/>
      <name val="Arial"/>
      <family val="2"/>
    </font>
    <font>
      <b/>
      <sz val="10"/>
      <name val="Arial"/>
      <family val="2"/>
    </font>
    <font>
      <b/>
      <u val="singleAccounting"/>
      <sz val="10"/>
      <name val="Arial"/>
      <family val="2"/>
    </font>
    <font>
      <b/>
      <strike/>
      <sz val="10"/>
      <name val="Arial"/>
      <family val="2"/>
    </font>
    <font>
      <b/>
      <sz val="10"/>
      <name val="Arial Narrow"/>
      <family val="2"/>
    </font>
    <font>
      <b/>
      <strike/>
      <u/>
      <sz val="10"/>
      <name val="Arial"/>
      <family val="2"/>
    </font>
    <font>
      <sz val="14"/>
      <color indexed="8"/>
      <name val="Helv"/>
    </font>
    <font>
      <sz val="10"/>
      <color indexed="8"/>
      <name val="Helv"/>
    </font>
    <font>
      <sz val="10"/>
      <name val="Arial MT"/>
    </font>
    <font>
      <sz val="12"/>
      <name val="Arial Black"/>
      <family val="2"/>
    </font>
    <font>
      <sz val="10"/>
      <color indexed="12"/>
      <name val="Courier"/>
      <family val="3"/>
    </font>
    <font>
      <i/>
      <sz val="12"/>
      <name val="Arial Condensed Bold"/>
    </font>
    <font>
      <b/>
      <i/>
      <sz val="12"/>
      <name val="Arial MT"/>
    </font>
    <font>
      <b/>
      <u/>
      <sz val="12"/>
      <name val="Arial MT"/>
    </font>
    <font>
      <sz val="12"/>
      <name val="Arial"/>
      <family val="2"/>
    </font>
    <font>
      <b/>
      <strike/>
      <u/>
      <sz val="12"/>
      <color indexed="10"/>
      <name val="Arial"/>
      <family val="2"/>
    </font>
    <font>
      <sz val="12"/>
      <name val="Arial"/>
      <family val="2"/>
    </font>
    <font>
      <sz val="10"/>
      <name val="Tahoma"/>
      <family val="2"/>
    </font>
    <font>
      <sz val="8"/>
      <name val="Tahoma"/>
      <family val="2"/>
    </font>
    <font>
      <b/>
      <i/>
      <u/>
      <sz val="10"/>
      <name val="Arial"/>
      <family val="2"/>
    </font>
    <font>
      <b/>
      <sz val="12"/>
      <name val="Arial Condensed Bold"/>
    </font>
    <font>
      <sz val="10"/>
      <color indexed="17"/>
      <name val="Arial"/>
      <family val="2"/>
    </font>
    <font>
      <b/>
      <sz val="10"/>
      <color indexed="17"/>
      <name val="Arial"/>
      <family val="2"/>
    </font>
    <font>
      <i/>
      <sz val="14"/>
      <name val="Arial"/>
      <family val="2"/>
    </font>
    <font>
      <sz val="12"/>
      <color indexed="8"/>
      <name val="Helv"/>
    </font>
    <font>
      <sz val="12"/>
      <color indexed="8"/>
      <name val="Arial"/>
      <family val="2"/>
    </font>
    <font>
      <i/>
      <sz val="14"/>
      <name val="Helv"/>
    </font>
    <font>
      <sz val="10"/>
      <name val="Arial"/>
      <family val="2"/>
    </font>
    <font>
      <sz val="10"/>
      <name val="Arial"/>
      <family val="2"/>
    </font>
    <font>
      <sz val="12"/>
      <name val="Arial Narrow"/>
      <family val="2"/>
    </font>
    <font>
      <b/>
      <sz val="12"/>
      <name val="Arial Narrow"/>
      <family val="2"/>
    </font>
    <font>
      <b/>
      <u/>
      <sz val="12"/>
      <name val="Arial Narrow"/>
      <family val="2"/>
    </font>
    <font>
      <sz val="11"/>
      <color indexed="12"/>
      <name val="Arial"/>
      <family val="2"/>
    </font>
    <font>
      <u val="singleAccounting"/>
      <sz val="11"/>
      <name val="Arial"/>
      <family val="2"/>
    </font>
    <font>
      <b/>
      <u/>
      <sz val="11"/>
      <name val="Arial"/>
      <family val="2"/>
    </font>
    <font>
      <sz val="10"/>
      <name val="Arial"/>
      <family val="2"/>
    </font>
    <font>
      <sz val="10"/>
      <name val="Arial"/>
      <family val="2"/>
    </font>
    <font>
      <b/>
      <i/>
      <sz val="12"/>
      <name val="Times New Roman"/>
      <family val="1"/>
    </font>
    <font>
      <strike/>
      <sz val="12"/>
      <color indexed="10"/>
      <name val="Arial"/>
      <family val="2"/>
    </font>
    <font>
      <sz val="10"/>
      <color indexed="40"/>
      <name val="Arial"/>
      <family val="2"/>
    </font>
    <font>
      <sz val="10"/>
      <name val="Arial"/>
      <family val="2"/>
    </font>
    <font>
      <sz val="10"/>
      <color indexed="40"/>
      <name val="Times New Roman"/>
      <family val="1"/>
    </font>
    <font>
      <sz val="13"/>
      <name val="Times New Roman"/>
      <family val="1"/>
    </font>
    <font>
      <sz val="10"/>
      <color indexed="12"/>
      <name val="Times New Roman"/>
      <family val="1"/>
    </font>
    <font>
      <sz val="10"/>
      <name val="Arial"/>
      <family val="2"/>
    </font>
    <font>
      <b/>
      <i/>
      <sz val="12"/>
      <name val="Cambria"/>
      <family val="1"/>
    </font>
    <font>
      <sz val="10"/>
      <name val="Cambria"/>
      <family val="1"/>
    </font>
    <font>
      <sz val="12"/>
      <name val="Cambria"/>
      <family val="1"/>
    </font>
    <font>
      <b/>
      <sz val="12"/>
      <name val="Cambria"/>
      <family val="1"/>
    </font>
    <font>
      <b/>
      <sz val="10"/>
      <name val="Cambria"/>
      <family val="1"/>
    </font>
    <font>
      <b/>
      <u/>
      <sz val="12"/>
      <name val="Cambria"/>
      <family val="1"/>
    </font>
    <font>
      <sz val="12"/>
      <color indexed="12"/>
      <name val="Cambria"/>
      <family val="1"/>
    </font>
    <font>
      <i/>
      <sz val="10"/>
      <name val="Cambria"/>
      <family val="1"/>
    </font>
    <font>
      <b/>
      <sz val="18"/>
      <name val="Arial Narrow"/>
      <family val="2"/>
    </font>
    <font>
      <sz val="9"/>
      <color indexed="10"/>
      <name val="Arial"/>
      <family val="2"/>
    </font>
    <font>
      <i/>
      <sz val="9"/>
      <name val="Arial"/>
      <family val="2"/>
    </font>
    <font>
      <sz val="11"/>
      <color theme="1"/>
      <name val="Calibri"/>
      <family val="2"/>
      <scheme val="minor"/>
    </font>
    <font>
      <sz val="11"/>
      <color theme="1"/>
      <name val="Calibri"/>
      <family val="2"/>
    </font>
    <font>
      <i/>
      <sz val="12"/>
      <color rgb="FFFF0000"/>
      <name val="Arial"/>
      <family val="2"/>
    </font>
    <font>
      <b/>
      <sz val="10"/>
      <color rgb="FFFF0000"/>
      <name val="Arial"/>
      <family val="2"/>
    </font>
    <font>
      <sz val="10"/>
      <color rgb="FF0000FF"/>
      <name val="Arial"/>
      <family val="2"/>
    </font>
    <font>
      <sz val="11"/>
      <color theme="1"/>
      <name val="Arial"/>
      <family val="2"/>
    </font>
    <font>
      <sz val="10"/>
      <color rgb="FFFF0000"/>
      <name val="Arial"/>
      <family val="2"/>
    </font>
    <font>
      <b/>
      <sz val="10"/>
      <color rgb="FF0000FF"/>
      <name val="Arial"/>
      <family val="2"/>
    </font>
  </fonts>
  <fills count="37">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mediumGray">
        <fgColor indexed="22"/>
      </patternFill>
    </fill>
    <fill>
      <patternFill patternType="solid">
        <fgColor indexed="22"/>
        <bgColor indexed="64"/>
      </patternFill>
    </fill>
    <fill>
      <patternFill patternType="solid">
        <fgColor indexed="27"/>
        <bgColor indexed="64"/>
      </patternFill>
    </fill>
    <fill>
      <patternFill patternType="solid">
        <fgColor indexed="9"/>
        <bgColor indexed="64"/>
      </patternFill>
    </fill>
    <fill>
      <patternFill patternType="solid">
        <fgColor indexed="23"/>
        <bgColor indexed="64"/>
      </patternFill>
    </fill>
    <fill>
      <patternFill patternType="solid">
        <fgColor indexed="55"/>
        <bgColor indexed="64"/>
      </patternFill>
    </fill>
    <fill>
      <patternFill patternType="solid">
        <fgColor rgb="FFCCFFFF"/>
        <bgColor indexed="64"/>
      </patternFill>
    </fill>
    <fill>
      <patternFill patternType="solid">
        <fgColor theme="5" tint="0.79998168889431442"/>
        <bgColor indexed="64"/>
      </patternFill>
    </fill>
    <fill>
      <patternFill patternType="solid">
        <fgColor theme="0"/>
        <bgColor indexed="64"/>
      </patternFill>
    </fill>
    <fill>
      <patternFill patternType="solid">
        <fgColor rgb="FFFFFF00"/>
        <bgColor indexed="64"/>
      </patternFill>
    </fill>
    <fill>
      <patternFill patternType="solid">
        <fgColor rgb="FFFFC000"/>
        <bgColor indexed="64"/>
      </patternFill>
    </fill>
    <fill>
      <patternFill patternType="solid">
        <fgColor theme="0" tint="-0.24991607409894101"/>
        <bgColor indexed="64"/>
      </patternFill>
    </fill>
    <fill>
      <patternFill patternType="darkUp">
        <bgColor theme="0" tint="-0.14990691854609822"/>
      </patternFill>
    </fill>
  </fills>
  <borders count="49">
    <border>
      <left/>
      <right/>
      <top/>
      <bottom/>
      <diagonal/>
    </border>
    <border>
      <left/>
      <right/>
      <top style="double">
        <color indexed="64"/>
      </top>
      <bottom/>
      <diagonal/>
    </border>
    <border>
      <left/>
      <right/>
      <top style="thin">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medium">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8"/>
      </top>
      <bottom/>
      <diagonal/>
    </border>
    <border>
      <left/>
      <right/>
      <top/>
      <bottom style="double">
        <color indexed="64"/>
      </bottom>
      <diagonal/>
    </border>
    <border>
      <left/>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8"/>
      </top>
      <bottom/>
      <diagonal/>
    </border>
    <border>
      <left/>
      <right/>
      <top style="double">
        <color indexed="8"/>
      </top>
      <bottom/>
      <diagonal/>
    </border>
    <border>
      <left/>
      <right/>
      <top style="thin">
        <color indexed="8"/>
      </top>
      <bottom style="double">
        <color indexed="8"/>
      </bottom>
      <diagonal/>
    </border>
    <border>
      <left/>
      <right style="thin">
        <color indexed="64"/>
      </right>
      <top style="thin">
        <color indexed="64"/>
      </top>
      <bottom style="double">
        <color indexed="64"/>
      </bottom>
      <diagonal/>
    </border>
    <border>
      <left/>
      <right style="thin">
        <color indexed="64"/>
      </right>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338">
    <xf numFmtId="0" fontId="0" fillId="0" borderId="0"/>
    <xf numFmtId="0" fontId="35" fillId="2" borderId="0" applyNumberFormat="0" applyBorder="0" applyAlignment="0" applyProtection="0"/>
    <xf numFmtId="0" fontId="35" fillId="2" borderId="0" applyNumberFormat="0" applyBorder="0" applyAlignment="0" applyProtection="0"/>
    <xf numFmtId="0" fontId="35" fillId="3" borderId="0" applyNumberFormat="0" applyBorder="0" applyAlignment="0" applyProtection="0"/>
    <xf numFmtId="0" fontId="35" fillId="3" borderId="0" applyNumberFormat="0" applyBorder="0" applyAlignment="0" applyProtection="0"/>
    <xf numFmtId="0" fontId="35" fillId="4" borderId="0" applyNumberFormat="0" applyBorder="0" applyAlignment="0" applyProtection="0"/>
    <xf numFmtId="0" fontId="35" fillId="4"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6" borderId="0" applyNumberFormat="0" applyBorder="0" applyAlignment="0" applyProtection="0"/>
    <xf numFmtId="0" fontId="35" fillId="6" borderId="0" applyNumberFormat="0" applyBorder="0" applyAlignment="0" applyProtection="0"/>
    <xf numFmtId="0" fontId="35" fillId="7" borderId="0" applyNumberFormat="0" applyBorder="0" applyAlignment="0" applyProtection="0"/>
    <xf numFmtId="0" fontId="35" fillId="7"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9" borderId="0" applyNumberFormat="0" applyBorder="0" applyAlignment="0" applyProtection="0"/>
    <xf numFmtId="0" fontId="35" fillId="9" borderId="0" applyNumberFormat="0" applyBorder="0" applyAlignment="0" applyProtection="0"/>
    <xf numFmtId="0" fontId="35" fillId="10" borderId="0" applyNumberFormat="0" applyBorder="0" applyAlignment="0" applyProtection="0"/>
    <xf numFmtId="0" fontId="35" fillId="10" borderId="0" applyNumberFormat="0" applyBorder="0" applyAlignment="0" applyProtection="0"/>
    <xf numFmtId="0" fontId="35" fillId="5" borderId="0" applyNumberFormat="0" applyBorder="0" applyAlignment="0" applyProtection="0"/>
    <xf numFmtId="0" fontId="35" fillId="5" borderId="0" applyNumberFormat="0" applyBorder="0" applyAlignment="0" applyProtection="0"/>
    <xf numFmtId="0" fontId="35" fillId="8" borderId="0" applyNumberFormat="0" applyBorder="0" applyAlignment="0" applyProtection="0"/>
    <xf numFmtId="0" fontId="35" fillId="8" borderId="0" applyNumberFormat="0" applyBorder="0" applyAlignment="0" applyProtection="0"/>
    <xf numFmtId="0" fontId="35" fillId="11" borderId="0" applyNumberFormat="0" applyBorder="0" applyAlignment="0" applyProtection="0"/>
    <xf numFmtId="0" fontId="35" fillId="11" borderId="0" applyNumberFormat="0" applyBorder="0" applyAlignment="0" applyProtection="0"/>
    <xf numFmtId="0" fontId="36" fillId="12" borderId="0" applyNumberFormat="0" applyBorder="0" applyAlignment="0" applyProtection="0"/>
    <xf numFmtId="0" fontId="36" fillId="12" borderId="0" applyNumberFormat="0" applyBorder="0" applyAlignment="0" applyProtection="0"/>
    <xf numFmtId="0" fontId="36" fillId="9" borderId="0" applyNumberFormat="0" applyBorder="0" applyAlignment="0" applyProtection="0"/>
    <xf numFmtId="0" fontId="36" fillId="9" borderId="0" applyNumberFormat="0" applyBorder="0" applyAlignment="0" applyProtection="0"/>
    <xf numFmtId="0" fontId="36" fillId="10" borderId="0" applyNumberFormat="0" applyBorder="0" applyAlignment="0" applyProtection="0"/>
    <xf numFmtId="0" fontId="36" fillId="10"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5"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36" fillId="16" borderId="0" applyNumberFormat="0" applyBorder="0" applyAlignment="0" applyProtection="0"/>
    <xf numFmtId="0" fontId="36" fillId="17" borderId="0" applyNumberFormat="0" applyBorder="0" applyAlignment="0" applyProtection="0"/>
    <xf numFmtId="0" fontId="36" fillId="17" borderId="0" applyNumberFormat="0" applyBorder="0" applyAlignment="0" applyProtection="0"/>
    <xf numFmtId="0" fontId="36" fillId="18" borderId="0" applyNumberFormat="0" applyBorder="0" applyAlignment="0" applyProtection="0"/>
    <xf numFmtId="0" fontId="36" fillId="18" borderId="0" applyNumberFormat="0" applyBorder="0" applyAlignment="0" applyProtection="0"/>
    <xf numFmtId="0" fontId="36" fillId="13" borderId="0" applyNumberFormat="0" applyBorder="0" applyAlignment="0" applyProtection="0"/>
    <xf numFmtId="0" fontId="36" fillId="13" borderId="0" applyNumberFormat="0" applyBorder="0" applyAlignment="0" applyProtection="0"/>
    <xf numFmtId="0" fontId="36" fillId="14" borderId="0" applyNumberFormat="0" applyBorder="0" applyAlignment="0" applyProtection="0"/>
    <xf numFmtId="0" fontId="36" fillId="14" borderId="0" applyNumberFormat="0" applyBorder="0" applyAlignment="0" applyProtection="0"/>
    <xf numFmtId="0" fontId="36" fillId="19" borderId="0" applyNumberFormat="0" applyBorder="0" applyAlignment="0" applyProtection="0"/>
    <xf numFmtId="0" fontId="36" fillId="19" borderId="0" applyNumberFormat="0" applyBorder="0" applyAlignment="0" applyProtection="0"/>
    <xf numFmtId="0" fontId="37" fillId="3" borderId="0" applyNumberFormat="0" applyBorder="0" applyAlignment="0" applyProtection="0"/>
    <xf numFmtId="0" fontId="37" fillId="3" borderId="0" applyNumberFormat="0" applyBorder="0" applyAlignment="0" applyProtection="0"/>
    <xf numFmtId="172" fontId="38" fillId="0" borderId="0" applyFill="0"/>
    <xf numFmtId="172" fontId="38" fillId="0" borderId="0">
      <alignment horizontal="center"/>
    </xf>
    <xf numFmtId="0" fontId="38" fillId="0" borderId="0" applyFill="0">
      <alignment horizontal="center"/>
    </xf>
    <xf numFmtId="172" fontId="4" fillId="0" borderId="1" applyFill="0"/>
    <xf numFmtId="0" fontId="12" fillId="0" borderId="0" applyFont="0" applyAlignment="0"/>
    <xf numFmtId="0" fontId="39" fillId="0" borderId="0" applyFill="0">
      <alignment vertical="top"/>
    </xf>
    <xf numFmtId="0" fontId="4" fillId="0" borderId="0" applyFill="0">
      <alignment horizontal="left" vertical="top"/>
    </xf>
    <xf numFmtId="172" fontId="6" fillId="0" borderId="2" applyFill="0"/>
    <xf numFmtId="0" fontId="12" fillId="0" borderId="0" applyNumberFormat="0" applyFont="0" applyAlignment="0"/>
    <xf numFmtId="0" fontId="39" fillId="0" borderId="0" applyFill="0">
      <alignment wrapText="1"/>
    </xf>
    <xf numFmtId="0" fontId="4" fillId="0" borderId="0" applyFill="0">
      <alignment horizontal="left" vertical="top" wrapText="1"/>
    </xf>
    <xf numFmtId="172" fontId="40" fillId="0" borderId="0" applyFill="0"/>
    <xf numFmtId="0" fontId="41" fillId="0" borderId="0" applyNumberFormat="0" applyFont="0" applyAlignment="0">
      <alignment horizontal="center"/>
    </xf>
    <xf numFmtId="0" fontId="42" fillId="0" borderId="0" applyFill="0">
      <alignment vertical="top" wrapText="1"/>
    </xf>
    <xf numFmtId="0" fontId="6" fillId="0" borderId="0" applyFill="0">
      <alignment horizontal="left" vertical="top" wrapText="1"/>
    </xf>
    <xf numFmtId="172" fontId="12" fillId="0" borderId="0" applyFill="0"/>
    <xf numFmtId="0" fontId="41" fillId="0" borderId="0" applyNumberFormat="0" applyFont="0" applyAlignment="0">
      <alignment horizontal="center"/>
    </xf>
    <xf numFmtId="0" fontId="28" fillId="0" borderId="0" applyFill="0">
      <alignment vertical="center" wrapText="1"/>
    </xf>
    <xf numFmtId="0" fontId="5" fillId="0" borderId="0">
      <alignment horizontal="left" vertical="center" wrapText="1"/>
    </xf>
    <xf numFmtId="172" fontId="24" fillId="0" borderId="0" applyFill="0"/>
    <xf numFmtId="0" fontId="41" fillId="0" borderId="0" applyNumberFormat="0" applyFont="0" applyAlignment="0">
      <alignment horizontal="center"/>
    </xf>
    <xf numFmtId="0" fontId="16" fillId="0" borderId="0" applyFill="0">
      <alignment horizontal="center" vertical="center" wrapText="1"/>
    </xf>
    <xf numFmtId="0" fontId="12" fillId="0" borderId="0" applyFill="0">
      <alignment horizontal="center" vertical="center" wrapText="1"/>
    </xf>
    <xf numFmtId="172" fontId="43" fillId="0" borderId="0" applyFill="0"/>
    <xf numFmtId="0" fontId="41" fillId="0" borderId="0" applyNumberFormat="0" applyFont="0" applyAlignment="0">
      <alignment horizontal="center"/>
    </xf>
    <xf numFmtId="0" fontId="44" fillId="0" borderId="0" applyFill="0">
      <alignment horizontal="center" vertical="center" wrapText="1"/>
    </xf>
    <xf numFmtId="0" fontId="45" fillId="0" borderId="0" applyFill="0">
      <alignment horizontal="center" vertical="center" wrapText="1"/>
    </xf>
    <xf numFmtId="172" fontId="46" fillId="0" borderId="0" applyFill="0"/>
    <xf numFmtId="0" fontId="41" fillId="0" borderId="0" applyNumberFormat="0" applyFont="0" applyAlignment="0">
      <alignment horizontal="center"/>
    </xf>
    <xf numFmtId="0" fontId="47" fillId="0" borderId="0">
      <alignment horizontal="center" wrapText="1"/>
    </xf>
    <xf numFmtId="0" fontId="43" fillId="0" borderId="0" applyFill="0">
      <alignment horizontal="center" wrapText="1"/>
    </xf>
    <xf numFmtId="0" fontId="48" fillId="20" borderId="3" applyNumberFormat="0" applyAlignment="0" applyProtection="0"/>
    <xf numFmtId="0" fontId="48" fillId="20" borderId="3" applyNumberFormat="0" applyAlignment="0" applyProtection="0"/>
    <xf numFmtId="0" fontId="49" fillId="21" borderId="4" applyNumberFormat="0" applyAlignment="0" applyProtection="0"/>
    <xf numFmtId="0" fontId="49" fillId="21" borderId="4" applyNumberFormat="0" applyAlignment="0" applyProtection="0"/>
    <xf numFmtId="43" fontId="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8"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49" fillId="0" borderId="0" applyFont="0" applyFill="0" applyBorder="0" applyAlignment="0" applyProtection="0"/>
    <xf numFmtId="43" fontId="12" fillId="0" borderId="0" applyFont="0" applyFill="0" applyBorder="0" applyAlignment="0" applyProtection="0"/>
    <xf numFmtId="43" fontId="133" fillId="0" borderId="0" applyFont="0" applyFill="0" applyBorder="0" applyAlignment="0" applyProtection="0"/>
    <xf numFmtId="43" fontId="149" fillId="0" borderId="0" applyFont="0" applyFill="0" applyBorder="0" applyAlignment="0" applyProtection="0"/>
    <xf numFmtId="43" fontId="137" fillId="0" borderId="0" applyFont="0" applyFill="0" applyBorder="0" applyAlignment="0" applyProtection="0"/>
    <xf numFmtId="43" fontId="149" fillId="0" borderId="0" applyFont="0" applyFill="0" applyBorder="0" applyAlignment="0" applyProtection="0"/>
    <xf numFmtId="43" fontId="2" fillId="0" borderId="0" applyFont="0" applyFill="0" applyBorder="0" applyAlignment="0" applyProtection="0"/>
    <xf numFmtId="43" fontId="129" fillId="0" borderId="0" applyFont="0" applyFill="0" applyBorder="0" applyAlignment="0" applyProtection="0"/>
    <xf numFmtId="3"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8"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44" fontId="12" fillId="0" borderId="0" applyFont="0" applyFill="0" applyBorder="0" applyAlignment="0" applyProtection="0"/>
    <xf numFmtId="44" fontId="149" fillId="0" borderId="0" applyFont="0" applyFill="0" applyBorder="0" applyAlignment="0" applyProtection="0"/>
    <xf numFmtId="5" fontId="12" fillId="0" borderId="0" applyFont="0" applyFill="0" applyBorder="0" applyAlignment="0" applyProtection="0"/>
    <xf numFmtId="14" fontId="12" fillId="0" borderId="0" applyFont="0" applyFill="0" applyBorder="0" applyAlignment="0" applyProtection="0"/>
    <xf numFmtId="0" fontId="50" fillId="0" borderId="0" applyNumberFormat="0" applyFill="0" applyBorder="0" applyAlignment="0" applyProtection="0"/>
    <xf numFmtId="0" fontId="50" fillId="0" borderId="0" applyNumberFormat="0" applyFill="0" applyBorder="0" applyAlignment="0" applyProtection="0"/>
    <xf numFmtId="2" fontId="12" fillId="0" borderId="0" applyFont="0" applyFill="0" applyBorder="0" applyAlignment="0" applyProtection="0"/>
    <xf numFmtId="0" fontId="51" fillId="4" borderId="0" applyNumberFormat="0" applyBorder="0" applyAlignment="0" applyProtection="0"/>
    <xf numFmtId="0" fontId="51" fillId="4" borderId="0" applyNumberFormat="0" applyBorder="0" applyAlignment="0" applyProtection="0"/>
    <xf numFmtId="0" fontId="31" fillId="0" borderId="0" applyFont="0" applyFill="0" applyBorder="0" applyAlignment="0" applyProtection="0"/>
    <xf numFmtId="0" fontId="31" fillId="0" borderId="0" applyFont="0" applyFill="0" applyBorder="0" applyAlignment="0" applyProtection="0"/>
    <xf numFmtId="0" fontId="6" fillId="0" borderId="0" applyFont="0" applyFill="0" applyBorder="0" applyAlignment="0" applyProtection="0"/>
    <xf numFmtId="0" fontId="6" fillId="0" borderId="0" applyFont="0" applyFill="0" applyBorder="0" applyAlignment="0" applyProtection="0"/>
    <xf numFmtId="0" fontId="52" fillId="0" borderId="5" applyNumberFormat="0" applyFill="0" applyAlignment="0" applyProtection="0"/>
    <xf numFmtId="0" fontId="52" fillId="0" borderId="5" applyNumberFormat="0" applyFill="0" applyAlignment="0" applyProtection="0"/>
    <xf numFmtId="0" fontId="52" fillId="0" borderId="0" applyNumberFormat="0" applyFill="0" applyBorder="0" applyAlignment="0" applyProtection="0"/>
    <xf numFmtId="0" fontId="52" fillId="0" borderId="0" applyNumberFormat="0" applyFill="0" applyBorder="0" applyAlignment="0" applyProtection="0"/>
    <xf numFmtId="0" fontId="53" fillId="0" borderId="6"/>
    <xf numFmtId="0" fontId="54" fillId="0" borderId="0"/>
    <xf numFmtId="0" fontId="55" fillId="7" borderId="3" applyNumberFormat="0" applyAlignment="0" applyProtection="0"/>
    <xf numFmtId="0" fontId="55" fillId="7" borderId="3" applyNumberFormat="0" applyAlignment="0" applyProtection="0"/>
    <xf numFmtId="0" fontId="56" fillId="0" borderId="7" applyNumberFormat="0" applyFill="0" applyAlignment="0" applyProtection="0"/>
    <xf numFmtId="0" fontId="56" fillId="0" borderId="7" applyNumberFormat="0" applyFill="0" applyAlignment="0" applyProtection="0"/>
    <xf numFmtId="0" fontId="57" fillId="22" borderId="0" applyNumberFormat="0" applyBorder="0" applyAlignment="0" applyProtection="0"/>
    <xf numFmtId="0" fontId="57" fillId="22" borderId="0" applyNumberFormat="0" applyBorder="0" applyAlignment="0" applyProtection="0"/>
    <xf numFmtId="3" fontId="128" fillId="0" borderId="0"/>
    <xf numFmtId="3" fontId="12" fillId="0" borderId="0"/>
    <xf numFmtId="3" fontId="12" fillId="0" borderId="0"/>
    <xf numFmtId="3" fontId="12" fillId="0" borderId="0"/>
    <xf numFmtId="0" fontId="128" fillId="0" borderId="0"/>
    <xf numFmtId="0" fontId="12" fillId="0" borderId="0"/>
    <xf numFmtId="3" fontId="12" fillId="0" borderId="0"/>
    <xf numFmtId="3" fontId="12" fillId="0" borderId="0"/>
    <xf numFmtId="3" fontId="12" fillId="0" borderId="0"/>
    <xf numFmtId="3" fontId="12" fillId="0" borderId="0"/>
    <xf numFmtId="0" fontId="149" fillId="0" borderId="0"/>
    <xf numFmtId="3" fontId="12" fillId="0" borderId="0"/>
    <xf numFmtId="3" fontId="12" fillId="0" borderId="0"/>
    <xf numFmtId="3" fontId="12" fillId="0" borderId="0"/>
    <xf numFmtId="3"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0" fontId="150" fillId="0" borderId="0"/>
    <xf numFmtId="0" fontId="12" fillId="0" borderId="0"/>
    <xf numFmtId="0" fontId="12" fillId="0" borderId="0"/>
    <xf numFmtId="0" fontId="150" fillId="0" borderId="0"/>
    <xf numFmtId="0" fontId="12" fillId="0" borderId="0"/>
    <xf numFmtId="0"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3" fontId="12" fillId="0" borderId="0"/>
    <xf numFmtId="0" fontId="12" fillId="0" borderId="0"/>
    <xf numFmtId="0" fontId="12" fillId="0" borderId="0"/>
    <xf numFmtId="3" fontId="12" fillId="0" borderId="0"/>
    <xf numFmtId="0" fontId="12" fillId="0" borderId="0"/>
    <xf numFmtId="0" fontId="149" fillId="0" borderId="0"/>
    <xf numFmtId="0" fontId="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3" fontId="12" fillId="0" borderId="0"/>
    <xf numFmtId="3" fontId="12" fillId="0" borderId="0"/>
    <xf numFmtId="0" fontId="128" fillId="0" borderId="0"/>
    <xf numFmtId="0" fontId="12" fillId="0" borderId="0"/>
    <xf numFmtId="0" fontId="128" fillId="0" borderId="0"/>
    <xf numFmtId="0" fontId="12" fillId="0" borderId="0"/>
    <xf numFmtId="0" fontId="12" fillId="0" borderId="0"/>
    <xf numFmtId="0" fontId="12" fillId="0" borderId="0"/>
    <xf numFmtId="0" fontId="12" fillId="0" borderId="0"/>
    <xf numFmtId="0" fontId="12"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128" fillId="0" borderId="0"/>
    <xf numFmtId="0" fontId="12" fillId="0" borderId="0"/>
    <xf numFmtId="0" fontId="149" fillId="0" borderId="0"/>
    <xf numFmtId="0" fontId="3" fillId="0" borderId="0" applyProtection="0"/>
    <xf numFmtId="0" fontId="2" fillId="0" borderId="0"/>
    <xf numFmtId="0" fontId="12" fillId="0" borderId="0"/>
    <xf numFmtId="0" fontId="12" fillId="0" borderId="0"/>
    <xf numFmtId="0" fontId="12" fillId="0" borderId="0"/>
    <xf numFmtId="172" fontId="3" fillId="0" borderId="0" applyProtection="0"/>
    <xf numFmtId="0" fontId="2" fillId="0" borderId="0"/>
    <xf numFmtId="172" fontId="3" fillId="0" borderId="0" applyProtection="0"/>
    <xf numFmtId="172" fontId="3" fillId="0" borderId="0" applyProtection="0"/>
    <xf numFmtId="0" fontId="70" fillId="0" borderId="0"/>
    <xf numFmtId="0" fontId="12" fillId="0" borderId="0"/>
    <xf numFmtId="0" fontId="3" fillId="0" borderId="0"/>
    <xf numFmtId="0" fontId="12" fillId="0" borderId="0"/>
    <xf numFmtId="0" fontId="2" fillId="0" borderId="0"/>
    <xf numFmtId="0" fontId="129" fillId="0" borderId="0"/>
    <xf numFmtId="0" fontId="110" fillId="0" borderId="0"/>
    <xf numFmtId="0" fontId="3" fillId="23" borderId="8" applyNumberFormat="0" applyFont="0" applyAlignment="0" applyProtection="0"/>
    <xf numFmtId="0" fontId="3" fillId="23" borderId="8" applyNumberFormat="0" applyFont="0" applyAlignment="0" applyProtection="0"/>
    <xf numFmtId="0" fontId="58" fillId="20" borderId="9" applyNumberFormat="0" applyAlignment="0" applyProtection="0"/>
    <xf numFmtId="0" fontId="58" fillId="20" borderId="9" applyNumberFormat="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 fillId="0" borderId="0" applyFont="0" applyFill="0" applyBorder="0" applyAlignment="0" applyProtection="0"/>
    <xf numFmtId="9" fontId="128"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9" fontId="12" fillId="0" borderId="0" applyFont="0" applyFill="0" applyBorder="0" applyAlignment="0" applyProtection="0"/>
    <xf numFmtId="9" fontId="149" fillId="0" borderId="0" applyFont="0" applyFill="0" applyBorder="0" applyAlignment="0" applyProtection="0"/>
    <xf numFmtId="0" fontId="33" fillId="0" borderId="0" applyNumberFormat="0" applyFont="0" applyFill="0" applyBorder="0" applyAlignment="0" applyProtection="0">
      <alignment horizontal="left"/>
    </xf>
    <xf numFmtId="15" fontId="33" fillId="0" borderId="0" applyFont="0" applyFill="0" applyBorder="0" applyAlignment="0" applyProtection="0"/>
    <xf numFmtId="4" fontId="33" fillId="0" borderId="0" applyFont="0" applyFill="0" applyBorder="0" applyAlignment="0" applyProtection="0"/>
    <xf numFmtId="3" fontId="12" fillId="0" borderId="0">
      <alignment horizontal="left" vertical="top"/>
    </xf>
    <xf numFmtId="0" fontId="34" fillId="0" borderId="6">
      <alignment horizontal="center"/>
    </xf>
    <xf numFmtId="3" fontId="33" fillId="0" borderId="0" applyFont="0" applyFill="0" applyBorder="0" applyAlignment="0" applyProtection="0"/>
    <xf numFmtId="0" fontId="33" fillId="24" borderId="0" applyNumberFormat="0" applyFont="0" applyBorder="0" applyAlignment="0" applyProtection="0"/>
    <xf numFmtId="3" fontId="12" fillId="0" borderId="0">
      <alignment horizontal="right" vertical="top"/>
    </xf>
    <xf numFmtId="41" fontId="5" fillId="25" borderId="10" applyFill="0"/>
    <xf numFmtId="0" fontId="59" fillId="0" borderId="0">
      <alignment horizontal="left" indent="7"/>
    </xf>
    <xf numFmtId="41" fontId="5" fillId="0" borderId="10" applyFill="0">
      <alignment horizontal="left" indent="2"/>
    </xf>
    <xf numFmtId="172" fontId="25" fillId="0" borderId="11" applyFill="0">
      <alignment horizontal="right"/>
    </xf>
    <xf numFmtId="0" fontId="9" fillId="0" borderId="12" applyNumberFormat="0" applyFont="0" applyBorder="0">
      <alignment horizontal="right"/>
    </xf>
    <xf numFmtId="0" fontId="60" fillId="0" borderId="0" applyFill="0"/>
    <xf numFmtId="0" fontId="6" fillId="0" borderId="0" applyFill="0"/>
    <xf numFmtId="4" fontId="25" fillId="0" borderId="11" applyFill="0"/>
    <xf numFmtId="0" fontId="12" fillId="0" borderId="0" applyNumberFormat="0" applyFont="0" applyBorder="0" applyAlignment="0"/>
    <xf numFmtId="0" fontId="42" fillId="0" borderId="0" applyFill="0">
      <alignment horizontal="left" indent="1"/>
    </xf>
    <xf numFmtId="0" fontId="61" fillId="0" borderId="0" applyFill="0">
      <alignment horizontal="left" indent="1"/>
    </xf>
    <xf numFmtId="4" fontId="24" fillId="0" borderId="0" applyFill="0"/>
    <xf numFmtId="0" fontId="12" fillId="0" borderId="0" applyNumberFormat="0" applyFont="0" applyFill="0" applyBorder="0" applyAlignment="0"/>
    <xf numFmtId="0" fontId="42" fillId="0" borderId="0" applyFill="0">
      <alignment horizontal="left" indent="2"/>
    </xf>
    <xf numFmtId="0" fontId="6" fillId="0" borderId="0" applyFill="0">
      <alignment horizontal="left" indent="2"/>
    </xf>
    <xf numFmtId="4" fontId="24" fillId="0" borderId="0" applyFill="0"/>
    <xf numFmtId="0" fontId="12" fillId="0" borderId="0" applyNumberFormat="0" applyFont="0" applyBorder="0" applyAlignment="0"/>
    <xf numFmtId="0" fontId="62" fillId="0" borderId="0">
      <alignment horizontal="left" indent="3"/>
    </xf>
    <xf numFmtId="0" fontId="63" fillId="0" borderId="0" applyFill="0">
      <alignment horizontal="left" indent="3"/>
    </xf>
    <xf numFmtId="4" fontId="24" fillId="0" borderId="0" applyFill="0"/>
    <xf numFmtId="0" fontId="12" fillId="0" borderId="0" applyNumberFormat="0" applyFont="0" applyBorder="0" applyAlignment="0"/>
    <xf numFmtId="0" fontId="16" fillId="0" borderId="0">
      <alignment horizontal="left" indent="4"/>
    </xf>
    <xf numFmtId="0" fontId="12" fillId="0" borderId="0" applyFill="0">
      <alignment horizontal="left" indent="4"/>
    </xf>
    <xf numFmtId="4" fontId="43" fillId="0" borderId="0" applyFill="0"/>
    <xf numFmtId="0" fontId="12" fillId="0" borderId="0" applyNumberFormat="0" applyFont="0" applyBorder="0" applyAlignment="0"/>
    <xf numFmtId="0" fontId="44" fillId="0" borderId="0">
      <alignment horizontal="left" indent="5"/>
    </xf>
    <xf numFmtId="0" fontId="45" fillId="0" borderId="0" applyFill="0">
      <alignment horizontal="left" indent="5"/>
    </xf>
    <xf numFmtId="4" fontId="46" fillId="0" borderId="0" applyFill="0"/>
    <xf numFmtId="0" fontId="12" fillId="0" borderId="0" applyNumberFormat="0" applyFont="0" applyFill="0" applyBorder="0" applyAlignment="0"/>
    <xf numFmtId="0" fontId="47" fillId="0" borderId="0" applyFill="0">
      <alignment horizontal="left" indent="6"/>
    </xf>
    <xf numFmtId="0" fontId="43" fillId="0" borderId="0" applyFill="0">
      <alignment horizontal="left" indent="6"/>
    </xf>
    <xf numFmtId="0" fontId="64" fillId="0" borderId="0" applyNumberFormat="0" applyFill="0" applyBorder="0" applyAlignment="0" applyProtection="0"/>
    <xf numFmtId="0" fontId="64" fillId="0" borderId="0" applyNumberFormat="0" applyFill="0" applyBorder="0" applyAlignment="0" applyProtection="0"/>
    <xf numFmtId="0" fontId="12" fillId="0" borderId="0" applyFont="0" applyFill="0" applyBorder="0" applyAlignment="0" applyProtection="0"/>
    <xf numFmtId="0" fontId="12" fillId="0" borderId="0" applyFont="0" applyFill="0" applyBorder="0" applyAlignment="0" applyProtection="0"/>
    <xf numFmtId="0" fontId="65" fillId="0" borderId="0" applyNumberFormat="0" applyFill="0" applyBorder="0" applyAlignment="0" applyProtection="0"/>
    <xf numFmtId="0" fontId="65" fillId="0" borderId="0" applyNumberFormat="0" applyFill="0" applyBorder="0" applyAlignment="0" applyProtection="0"/>
    <xf numFmtId="0" fontId="2" fillId="0" borderId="0"/>
    <xf numFmtId="43" fontId="2" fillId="0" borderId="0" applyFont="0" applyFill="0" applyBorder="0" applyAlignment="0" applyProtection="0"/>
    <xf numFmtId="0" fontId="1" fillId="0" borderId="0"/>
    <xf numFmtId="0" fontId="2" fillId="0" borderId="0"/>
    <xf numFmtId="0" fontId="2" fillId="0" borderId="0"/>
    <xf numFmtId="9" fontId="2" fillId="0" borderId="0" applyFont="0" applyFill="0" applyBorder="0" applyAlignment="0" applyProtection="0"/>
  </cellStyleXfs>
  <cellXfs count="1581">
    <xf numFmtId="0" fontId="0" fillId="0" borderId="0" xfId="0"/>
    <xf numFmtId="0" fontId="0" fillId="0" borderId="0" xfId="0" applyAlignment="1">
      <alignment horizontal="center"/>
    </xf>
    <xf numFmtId="0" fontId="0" fillId="0" borderId="0" xfId="0" applyAlignment="1"/>
    <xf numFmtId="3" fontId="5" fillId="0" borderId="0" xfId="0" applyNumberFormat="1" applyFont="1" applyAlignment="1">
      <alignment horizontal="center"/>
    </xf>
    <xf numFmtId="0" fontId="12" fillId="0" borderId="0" xfId="0" applyFont="1"/>
    <xf numFmtId="0" fontId="9" fillId="0" borderId="0" xfId="248" applyFont="1" applyFill="1" applyAlignment="1">
      <alignment horizontal="center"/>
    </xf>
    <xf numFmtId="0" fontId="15" fillId="0" borderId="0" xfId="248" applyFont="1" applyFill="1"/>
    <xf numFmtId="0" fontId="0" fillId="0" borderId="0" xfId="0" applyBorder="1"/>
    <xf numFmtId="0" fontId="4" fillId="0" borderId="0" xfId="0" applyFont="1"/>
    <xf numFmtId="0" fontId="0" fillId="0" borderId="0" xfId="0" applyFill="1"/>
    <xf numFmtId="0" fontId="12" fillId="0" borderId="0" xfId="248" applyFont="1" applyFill="1"/>
    <xf numFmtId="0" fontId="15" fillId="0" borderId="0" xfId="248" applyFont="1" applyFill="1" applyAlignment="1">
      <alignment horizontal="left"/>
    </xf>
    <xf numFmtId="3" fontId="12" fillId="0" borderId="0" xfId="0" applyNumberFormat="1" applyFont="1" applyFill="1"/>
    <xf numFmtId="0" fontId="5" fillId="0" borderId="0" xfId="248" applyFont="1" applyFill="1" applyAlignment="1">
      <alignment horizontal="right"/>
    </xf>
    <xf numFmtId="40" fontId="12" fillId="0" borderId="0" xfId="0" applyNumberFormat="1" applyFont="1" applyFill="1"/>
    <xf numFmtId="0" fontId="12" fillId="0" borderId="0" xfId="248" applyFont="1"/>
    <xf numFmtId="0" fontId="5" fillId="0" borderId="0" xfId="248" applyFont="1" applyFill="1"/>
    <xf numFmtId="0" fontId="9" fillId="0" borderId="0" xfId="248" applyFont="1" applyFill="1" applyBorder="1" applyAlignment="1">
      <alignment horizontal="left"/>
    </xf>
    <xf numFmtId="0" fontId="12" fillId="0" borderId="0" xfId="248" applyFont="1" applyAlignment="1">
      <alignment horizontal="left"/>
    </xf>
    <xf numFmtId="0" fontId="6" fillId="0" borderId="0" xfId="248" applyFont="1" applyFill="1" applyAlignment="1">
      <alignment horizontal="center"/>
    </xf>
    <xf numFmtId="0" fontId="26" fillId="0" borderId="0" xfId="0" applyFont="1" applyFill="1"/>
    <xf numFmtId="0" fontId="5" fillId="0" borderId="0" xfId="0" applyFont="1" applyAlignment="1">
      <alignment horizontal="center"/>
    </xf>
    <xf numFmtId="3" fontId="19" fillId="0" borderId="0" xfId="0" applyNumberFormat="1" applyFont="1" applyFill="1" applyAlignment="1"/>
    <xf numFmtId="41" fontId="27" fillId="0" borderId="0" xfId="248" applyNumberFormat="1" applyFont="1" applyFill="1" applyBorder="1"/>
    <xf numFmtId="0" fontId="28" fillId="0" borderId="0" xfId="248" applyFont="1" applyFill="1" applyAlignment="1">
      <alignment horizontal="left"/>
    </xf>
    <xf numFmtId="0" fontId="26" fillId="0" borderId="0" xfId="248" applyFont="1" applyFill="1"/>
    <xf numFmtId="41" fontId="26" fillId="0" borderId="0" xfId="248" applyNumberFormat="1" applyFont="1" applyFill="1"/>
    <xf numFmtId="41" fontId="26" fillId="0" borderId="0" xfId="248" applyNumberFormat="1" applyFont="1" applyFill="1" applyBorder="1" applyAlignment="1">
      <alignment vertical="top"/>
    </xf>
    <xf numFmtId="181" fontId="26" fillId="0" borderId="0" xfId="248" applyNumberFormat="1" applyFont="1" applyFill="1"/>
    <xf numFmtId="41" fontId="26" fillId="0" borderId="0" xfId="248" applyNumberFormat="1" applyFont="1" applyFill="1" applyBorder="1"/>
    <xf numFmtId="0" fontId="26" fillId="0" borderId="0" xfId="248" applyFont="1" applyFill="1" applyAlignment="1">
      <alignment horizontal="left"/>
    </xf>
    <xf numFmtId="0" fontId="29" fillId="0" borderId="0" xfId="248" applyFont="1" applyFill="1" applyBorder="1"/>
    <xf numFmtId="0" fontId="26" fillId="0" borderId="0" xfId="248" applyFont="1" applyFill="1" applyAlignment="1">
      <alignment horizontal="center"/>
    </xf>
    <xf numFmtId="0" fontId="10" fillId="0" borderId="0" xfId="248" applyFont="1" applyFill="1" applyAlignment="1">
      <alignment horizontal="center"/>
    </xf>
    <xf numFmtId="173" fontId="26" fillId="0" borderId="0" xfId="248" applyNumberFormat="1" applyFont="1" applyFill="1"/>
    <xf numFmtId="173" fontId="26" fillId="0" borderId="0" xfId="248" applyNumberFormat="1" applyFont="1" applyFill="1" applyBorder="1" applyAlignment="1">
      <alignment vertical="top"/>
    </xf>
    <xf numFmtId="41" fontId="26" fillId="0" borderId="13" xfId="248" applyNumberFormat="1" applyFont="1" applyFill="1" applyBorder="1"/>
    <xf numFmtId="173" fontId="6" fillId="0" borderId="0" xfId="86" applyNumberFormat="1" applyFont="1" applyFill="1" applyAlignment="1">
      <alignment horizontal="center"/>
    </xf>
    <xf numFmtId="0" fontId="5" fillId="0" borderId="0" xfId="248" applyFont="1" applyFill="1" applyAlignment="1">
      <alignment horizontal="center"/>
    </xf>
    <xf numFmtId="0" fontId="30" fillId="0" borderId="0" xfId="248" applyFont="1" applyFill="1" applyBorder="1"/>
    <xf numFmtId="0" fontId="10" fillId="0" borderId="0" xfId="248" applyFont="1" applyAlignment="1">
      <alignment horizontal="center"/>
    </xf>
    <xf numFmtId="41" fontId="5" fillId="0" borderId="13" xfId="248" applyNumberFormat="1" applyFont="1" applyFill="1" applyBorder="1"/>
    <xf numFmtId="38" fontId="12" fillId="0" borderId="0" xfId="0" applyNumberFormat="1" applyFont="1" applyFill="1" applyBorder="1" applyAlignment="1"/>
    <xf numFmtId="40" fontId="26" fillId="0" borderId="0" xfId="248" applyNumberFormat="1" applyFont="1" applyFill="1"/>
    <xf numFmtId="3" fontId="12" fillId="0" borderId="0" xfId="0" applyNumberFormat="1" applyFont="1"/>
    <xf numFmtId="40" fontId="12" fillId="0" borderId="0" xfId="0" applyNumberFormat="1" applyFont="1"/>
    <xf numFmtId="43" fontId="5" fillId="0" borderId="0" xfId="248" applyNumberFormat="1" applyFont="1" applyFill="1"/>
    <xf numFmtId="3" fontId="5" fillId="0" borderId="0" xfId="0" applyNumberFormat="1" applyFont="1" applyFill="1" applyAlignment="1"/>
    <xf numFmtId="41" fontId="27" fillId="25" borderId="0" xfId="248" applyNumberFormat="1" applyFont="1" applyFill="1" applyBorder="1"/>
    <xf numFmtId="0" fontId="32" fillId="0" borderId="0" xfId="0" applyFont="1" applyFill="1"/>
    <xf numFmtId="0" fontId="19" fillId="0" borderId="0" xfId="248" applyFont="1" applyFill="1"/>
    <xf numFmtId="0" fontId="12" fillId="0" borderId="0" xfId="248" applyFont="1" applyAlignment="1">
      <alignment horizontal="center"/>
    </xf>
    <xf numFmtId="0" fontId="5" fillId="0" borderId="0" xfId="207" applyFont="1" applyBorder="1" applyAlignment="1">
      <alignment horizontal="center"/>
    </xf>
    <xf numFmtId="49" fontId="5" fillId="0" borderId="0" xfId="248" applyNumberFormat="1" applyFont="1" applyAlignment="1">
      <alignment horizontal="center"/>
    </xf>
    <xf numFmtId="3" fontId="5" fillId="0" borderId="0" xfId="0" applyNumberFormat="1" applyFont="1" applyFill="1" applyAlignment="1">
      <alignment horizontal="center"/>
    </xf>
    <xf numFmtId="3" fontId="10" fillId="0" borderId="0" xfId="0" applyNumberFormat="1" applyFont="1" applyFill="1" applyAlignment="1">
      <alignment horizontal="center"/>
    </xf>
    <xf numFmtId="0" fontId="12" fillId="0" borderId="0" xfId="0" applyFont="1" applyAlignment="1">
      <alignment horizontal="center"/>
    </xf>
    <xf numFmtId="0" fontId="71" fillId="0" borderId="0" xfId="256" applyFont="1"/>
    <xf numFmtId="185" fontId="18" fillId="0" borderId="0" xfId="256" applyNumberFormat="1" applyFont="1" applyAlignment="1">
      <alignment horizontal="center"/>
    </xf>
    <xf numFmtId="0" fontId="12" fillId="0" borderId="0" xfId="256" applyFont="1"/>
    <xf numFmtId="0" fontId="18" fillId="0" borderId="0" xfId="256" applyFont="1"/>
    <xf numFmtId="0" fontId="18" fillId="0" borderId="0" xfId="256" applyNumberFormat="1" applyFont="1" applyAlignment="1">
      <alignment horizontal="center"/>
    </xf>
    <xf numFmtId="0" fontId="18" fillId="0" borderId="0" xfId="256" applyNumberFormat="1" applyFont="1"/>
    <xf numFmtId="0" fontId="18" fillId="0" borderId="0" xfId="256" applyNumberFormat="1" applyFont="1" applyBorder="1" applyAlignment="1">
      <alignment horizontal="center"/>
    </xf>
    <xf numFmtId="0" fontId="73" fillId="0" borderId="0" xfId="256" applyFont="1"/>
    <xf numFmtId="0" fontId="74" fillId="0" borderId="0" xfId="256" applyFont="1"/>
    <xf numFmtId="185" fontId="12" fillId="0" borderId="0" xfId="256" applyNumberFormat="1" applyFont="1"/>
    <xf numFmtId="0" fontId="75" fillId="0" borderId="0" xfId="253" applyFont="1" applyFill="1" applyAlignment="1">
      <alignment horizontal="center"/>
    </xf>
    <xf numFmtId="0" fontId="75" fillId="0" borderId="0" xfId="253" applyFont="1" applyFill="1" applyAlignment="1">
      <alignment horizontal="left" indent="2"/>
    </xf>
    <xf numFmtId="39" fontId="75" fillId="0" borderId="0" xfId="253" applyNumberFormat="1" applyFont="1" applyFill="1"/>
    <xf numFmtId="0" fontId="71" fillId="0" borderId="0" xfId="256" applyFont="1" applyFill="1"/>
    <xf numFmtId="0" fontId="12" fillId="0" borderId="0" xfId="256" applyNumberFormat="1" applyFont="1" applyAlignment="1">
      <alignment horizontal="center"/>
    </xf>
    <xf numFmtId="0" fontId="12" fillId="0" borderId="0" xfId="256" applyNumberFormat="1" applyFont="1"/>
    <xf numFmtId="173" fontId="71" fillId="0" borderId="14" xfId="86" applyNumberFormat="1" applyFont="1" applyBorder="1"/>
    <xf numFmtId="0" fontId="71" fillId="0" borderId="0" xfId="0" applyFont="1"/>
    <xf numFmtId="173" fontId="0" fillId="0" borderId="0" xfId="0" applyNumberFormat="1"/>
    <xf numFmtId="0" fontId="80" fillId="0" borderId="0" xfId="248" applyFont="1" applyFill="1" applyBorder="1" applyAlignment="1">
      <alignment horizontal="left"/>
    </xf>
    <xf numFmtId="0" fontId="4" fillId="0" borderId="0" xfId="0" applyFont="1" applyAlignment="1">
      <alignment horizontal="center"/>
    </xf>
    <xf numFmtId="0" fontId="4" fillId="0" borderId="0" xfId="207" applyFont="1" applyBorder="1" applyAlignment="1">
      <alignment horizontal="center"/>
    </xf>
    <xf numFmtId="0" fontId="12" fillId="0" borderId="0" xfId="256" applyNumberFormat="1" applyFont="1" applyFill="1"/>
    <xf numFmtId="173" fontId="71" fillId="0" borderId="0" xfId="256" applyNumberFormat="1" applyFont="1" applyFill="1"/>
    <xf numFmtId="3" fontId="4" fillId="0" borderId="0" xfId="0" applyNumberFormat="1" applyFont="1" applyAlignment="1">
      <alignment horizontal="center"/>
    </xf>
    <xf numFmtId="0" fontId="12" fillId="0" borderId="0" xfId="0" applyFont="1" applyAlignment="1">
      <alignment horizontal="centerContinuous"/>
    </xf>
    <xf numFmtId="0" fontId="17" fillId="0" borderId="0" xfId="0" applyFont="1" applyAlignment="1">
      <alignment horizontal="center"/>
    </xf>
    <xf numFmtId="0" fontId="9" fillId="0" borderId="0" xfId="0" applyFont="1" applyAlignment="1">
      <alignment horizontal="center"/>
    </xf>
    <xf numFmtId="0" fontId="0" fillId="0" borderId="0" xfId="0" applyAlignment="1">
      <alignment horizontal="left"/>
    </xf>
    <xf numFmtId="6" fontId="0" fillId="0" borderId="0" xfId="0" applyNumberFormat="1" applyAlignment="1">
      <alignment horizontal="right"/>
    </xf>
    <xf numFmtId="6" fontId="0" fillId="0" borderId="0" xfId="0" applyNumberFormat="1"/>
    <xf numFmtId="173" fontId="0" fillId="0" borderId="0" xfId="86" applyNumberFormat="1" applyFont="1"/>
    <xf numFmtId="0" fontId="15" fillId="0" borderId="0" xfId="248" applyFont="1"/>
    <xf numFmtId="0" fontId="2" fillId="0" borderId="0" xfId="248" applyAlignment="1">
      <alignment horizontal="left"/>
    </xf>
    <xf numFmtId="0" fontId="2" fillId="0" borderId="0" xfId="248"/>
    <xf numFmtId="0" fontId="15" fillId="0" borderId="0" xfId="248" applyFont="1" applyAlignment="1">
      <alignment horizontal="left"/>
    </xf>
    <xf numFmtId="0" fontId="14" fillId="0" borderId="0" xfId="248" applyFont="1" applyFill="1"/>
    <xf numFmtId="0" fontId="83" fillId="0" borderId="0" xfId="248" applyFont="1" applyFill="1"/>
    <xf numFmtId="9" fontId="10" fillId="0" borderId="0" xfId="248" quotePrefix="1" applyNumberFormat="1" applyFont="1" applyFill="1" applyAlignment="1">
      <alignment horizontal="center"/>
    </xf>
    <xf numFmtId="0" fontId="4" fillId="0" borderId="0" xfId="256" applyNumberFormat="1" applyFont="1" applyAlignment="1">
      <alignment horizontal="center"/>
    </xf>
    <xf numFmtId="0" fontId="4" fillId="0" borderId="0" xfId="256" applyNumberFormat="1" applyFont="1"/>
    <xf numFmtId="185" fontId="4" fillId="0" borderId="0" xfId="256" applyNumberFormat="1" applyFont="1" applyAlignment="1">
      <alignment horizontal="center"/>
    </xf>
    <xf numFmtId="0" fontId="4" fillId="0" borderId="11" xfId="256" applyNumberFormat="1" applyFont="1" applyBorder="1" applyAlignment="1">
      <alignment horizontal="center"/>
    </xf>
    <xf numFmtId="185" fontId="4" fillId="0" borderId="11" xfId="256" applyNumberFormat="1" applyFont="1" applyBorder="1" applyAlignment="1">
      <alignment horizontal="center"/>
    </xf>
    <xf numFmtId="174" fontId="0" fillId="0" borderId="0" xfId="115" applyNumberFormat="1" applyFont="1" applyAlignment="1">
      <alignment horizontal="center"/>
    </xf>
    <xf numFmtId="0" fontId="9" fillId="0" borderId="0" xfId="0" applyFont="1" applyAlignment="1">
      <alignment horizontal="left"/>
    </xf>
    <xf numFmtId="6" fontId="9" fillId="0" borderId="0" xfId="0" applyNumberFormat="1" applyFont="1" applyAlignment="1">
      <alignment horizontal="right"/>
    </xf>
    <xf numFmtId="164" fontId="0" fillId="0" borderId="0" xfId="267" applyNumberFormat="1" applyFont="1"/>
    <xf numFmtId="173" fontId="89" fillId="0" borderId="0" xfId="256" applyNumberFormat="1" applyFont="1" applyFill="1" applyBorder="1"/>
    <xf numFmtId="0" fontId="23" fillId="0" borderId="0" xfId="248" applyFont="1" applyFill="1" applyAlignment="1">
      <alignment horizontal="center"/>
    </xf>
    <xf numFmtId="0" fontId="92" fillId="0" borderId="0" xfId="248" applyFont="1" applyFill="1" applyBorder="1"/>
    <xf numFmtId="0" fontId="32" fillId="0" borderId="0" xfId="0" applyFont="1"/>
    <xf numFmtId="173" fontId="0" fillId="0" borderId="14" xfId="0" applyNumberFormat="1" applyBorder="1"/>
    <xf numFmtId="9" fontId="0" fillId="0" borderId="0" xfId="267" applyFont="1"/>
    <xf numFmtId="0" fontId="94" fillId="0" borderId="0" xfId="0" applyFont="1" applyAlignment="1">
      <alignment horizontal="center" wrapText="1"/>
    </xf>
    <xf numFmtId="0" fontId="18" fillId="0" borderId="0" xfId="253" applyFont="1" applyFill="1" applyAlignment="1">
      <alignment horizontal="center"/>
    </xf>
    <xf numFmtId="190" fontId="98" fillId="0" borderId="0" xfId="207" applyNumberFormat="1" applyFont="1" applyFill="1" applyBorder="1" applyAlignment="1">
      <alignment horizontal="center"/>
    </xf>
    <xf numFmtId="38" fontId="0" fillId="0" borderId="0" xfId="0" applyNumberFormat="1" applyBorder="1"/>
    <xf numFmtId="0" fontId="2" fillId="0" borderId="0" xfId="0" applyFont="1"/>
    <xf numFmtId="0" fontId="6" fillId="0" borderId="0" xfId="248" applyFont="1" applyFill="1" applyBorder="1" applyAlignment="1">
      <alignment horizontal="center"/>
    </xf>
    <xf numFmtId="0" fontId="5" fillId="0" borderId="0" xfId="0" applyFont="1" applyBorder="1" applyAlignment="1">
      <alignment horizontal="center"/>
    </xf>
    <xf numFmtId="0" fontId="4" fillId="0" borderId="0" xfId="256" applyNumberFormat="1" applyFont="1" applyBorder="1" applyAlignment="1">
      <alignment horizontal="center"/>
    </xf>
    <xf numFmtId="0" fontId="12" fillId="0" borderId="0" xfId="256" applyFont="1" applyBorder="1"/>
    <xf numFmtId="0" fontId="4" fillId="0" borderId="11" xfId="256" applyNumberFormat="1" applyFont="1" applyBorder="1"/>
    <xf numFmtId="185" fontId="4" fillId="0" borderId="0" xfId="256" applyNumberFormat="1" applyFont="1" applyBorder="1" applyAlignment="1">
      <alignment horizontal="center"/>
    </xf>
    <xf numFmtId="0" fontId="12" fillId="0" borderId="0" xfId="256" applyFont="1" applyFill="1"/>
    <xf numFmtId="173" fontId="78" fillId="0" borderId="0" xfId="256" applyNumberFormat="1" applyFont="1" applyFill="1" applyBorder="1"/>
    <xf numFmtId="0" fontId="71" fillId="0" borderId="0" xfId="256" applyFont="1" applyAlignment="1">
      <alignment horizontal="center"/>
    </xf>
    <xf numFmtId="0" fontId="18" fillId="0" borderId="0" xfId="256" applyFont="1" applyFill="1"/>
    <xf numFmtId="3" fontId="78" fillId="0" borderId="0" xfId="256" applyNumberFormat="1" applyFont="1" applyFill="1" applyBorder="1"/>
    <xf numFmtId="173" fontId="78" fillId="0" borderId="0" xfId="256" applyNumberFormat="1" applyFont="1" applyFill="1"/>
    <xf numFmtId="173" fontId="71" fillId="0" borderId="0" xfId="256" applyNumberFormat="1" applyFont="1" applyFill="1" applyBorder="1"/>
    <xf numFmtId="0" fontId="71" fillId="0" borderId="0" xfId="256" applyFont="1" applyFill="1" applyBorder="1"/>
    <xf numFmtId="38" fontId="22" fillId="0" borderId="0" xfId="0" applyNumberFormat="1" applyFont="1" applyBorder="1"/>
    <xf numFmtId="176" fontId="3" fillId="0" borderId="15" xfId="258" applyNumberFormat="1" applyBorder="1" applyProtection="1"/>
    <xf numFmtId="176" fontId="3" fillId="0" borderId="0" xfId="258" applyNumberFormat="1" applyBorder="1" applyProtection="1"/>
    <xf numFmtId="49" fontId="5" fillId="0" borderId="0" xfId="86" applyNumberFormat="1" applyFont="1" applyAlignment="1">
      <alignment horizontal="center"/>
    </xf>
    <xf numFmtId="0" fontId="99" fillId="0" borderId="0" xfId="256" applyFont="1" applyFill="1" applyBorder="1"/>
    <xf numFmtId="0" fontId="119" fillId="0" borderId="0" xfId="256" applyFont="1"/>
    <xf numFmtId="0" fontId="32" fillId="0" borderId="0" xfId="248" applyFont="1" applyFill="1" applyBorder="1"/>
    <xf numFmtId="0" fontId="107" fillId="0" borderId="0" xfId="248" applyFont="1" applyFill="1" applyAlignment="1">
      <alignment horizontal="center"/>
    </xf>
    <xf numFmtId="0" fontId="12" fillId="0" borderId="0" xfId="248" applyFont="1" applyFill="1" applyBorder="1"/>
    <xf numFmtId="0" fontId="94" fillId="0" borderId="0" xfId="0" applyFont="1" applyAlignment="1">
      <alignment horizontal="center"/>
    </xf>
    <xf numFmtId="10" fontId="3" fillId="0" borderId="0" xfId="258" applyNumberFormat="1" applyFill="1" applyProtection="1"/>
    <xf numFmtId="41" fontId="19" fillId="30" borderId="6" xfId="255" applyNumberFormat="1" applyFont="1" applyFill="1" applyBorder="1" applyAlignment="1" applyProtection="1">
      <protection locked="0"/>
    </xf>
    <xf numFmtId="3" fontId="19" fillId="30" borderId="0" xfId="255" applyNumberFormat="1" applyFont="1" applyFill="1" applyAlignment="1" applyProtection="1">
      <protection locked="0"/>
    </xf>
    <xf numFmtId="41" fontId="5" fillId="30" borderId="0" xfId="255" applyNumberFormat="1" applyFont="1" applyFill="1" applyAlignment="1" applyProtection="1">
      <protection locked="0"/>
    </xf>
    <xf numFmtId="173" fontId="19" fillId="30" borderId="0" xfId="86" applyNumberFormat="1" applyFont="1" applyFill="1" applyAlignment="1" applyProtection="1">
      <alignment horizontal="right"/>
      <protection locked="0"/>
    </xf>
    <xf numFmtId="41" fontId="19" fillId="30" borderId="0" xfId="255" applyNumberFormat="1" applyFont="1" applyFill="1" applyAlignment="1" applyProtection="1">
      <protection locked="0"/>
    </xf>
    <xf numFmtId="173" fontId="8" fillId="30" borderId="0" xfId="86" applyNumberFormat="1" applyFont="1" applyFill="1" applyProtection="1">
      <protection locked="0"/>
    </xf>
    <xf numFmtId="173" fontId="8" fillId="30" borderId="11" xfId="86" applyNumberFormat="1" applyFont="1" applyFill="1" applyBorder="1" applyAlignment="1" applyProtection="1">
      <protection locked="0"/>
    </xf>
    <xf numFmtId="10" fontId="19" fillId="30" borderId="0" xfId="255" applyNumberFormat="1" applyFont="1" applyFill="1" applyProtection="1">
      <protection locked="0"/>
    </xf>
    <xf numFmtId="41" fontId="19" fillId="30" borderId="0" xfId="255" applyNumberFormat="1" applyFont="1" applyFill="1" applyAlignment="1" applyProtection="1">
      <alignment vertical="center"/>
      <protection locked="0"/>
    </xf>
    <xf numFmtId="0" fontId="6" fillId="0" borderId="0" xfId="0" applyFont="1"/>
    <xf numFmtId="10" fontId="19" fillId="31" borderId="0" xfId="267" applyNumberFormat="1" applyFont="1" applyFill="1" applyAlignment="1" applyProtection="1">
      <protection locked="0"/>
    </xf>
    <xf numFmtId="173" fontId="78" fillId="32" borderId="0" xfId="256" applyNumberFormat="1" applyFont="1" applyFill="1"/>
    <xf numFmtId="194" fontId="3" fillId="0" borderId="0" xfId="258" applyNumberFormat="1" applyFill="1" applyProtection="1"/>
    <xf numFmtId="172" fontId="3" fillId="0" borderId="0" xfId="255" applyFont="1" applyAlignment="1" applyProtection="1"/>
    <xf numFmtId="172" fontId="5" fillId="0" borderId="0" xfId="255" applyFont="1" applyAlignment="1" applyProtection="1"/>
    <xf numFmtId="0" fontId="0" fillId="0" borderId="0" xfId="0" applyBorder="1" applyProtection="1"/>
    <xf numFmtId="0" fontId="6" fillId="0" borderId="0" xfId="255" applyNumberFormat="1" applyFont="1" applyBorder="1" applyAlignment="1" applyProtection="1">
      <alignment horizontal="left"/>
    </xf>
    <xf numFmtId="14" fontId="6" fillId="0" borderId="0" xfId="255" applyNumberFormat="1" applyFont="1" applyBorder="1" applyAlignment="1" applyProtection="1"/>
    <xf numFmtId="172" fontId="6" fillId="0" borderId="0" xfId="255" applyFont="1" applyFill="1" applyAlignment="1" applyProtection="1"/>
    <xf numFmtId="172" fontId="5" fillId="0" borderId="0" xfId="255" applyFont="1" applyFill="1" applyAlignment="1" applyProtection="1"/>
    <xf numFmtId="0" fontId="19" fillId="32" borderId="0" xfId="86" applyNumberFormat="1" applyFont="1" applyFill="1" applyAlignment="1" applyProtection="1"/>
    <xf numFmtId="0" fontId="5" fillId="0" borderId="0" xfId="255" applyNumberFormat="1" applyFont="1" applyAlignment="1" applyProtection="1"/>
    <xf numFmtId="0" fontId="5" fillId="0" borderId="0" xfId="0" applyNumberFormat="1" applyFont="1" applyAlignment="1" applyProtection="1">
      <alignment horizontal="center"/>
    </xf>
    <xf numFmtId="0" fontId="5" fillId="0" borderId="0" xfId="0" applyFont="1" applyAlignment="1" applyProtection="1"/>
    <xf numFmtId="0" fontId="5" fillId="0" borderId="0" xfId="255" applyNumberFormat="1" applyFont="1" applyProtection="1"/>
    <xf numFmtId="0" fontId="5" fillId="0" borderId="0" xfId="255" applyNumberFormat="1" applyFont="1" applyAlignment="1" applyProtection="1">
      <alignment horizontal="right"/>
    </xf>
    <xf numFmtId="0" fontId="19" fillId="0" borderId="0" xfId="86" applyNumberFormat="1" applyFont="1" applyFill="1" applyAlignment="1" applyProtection="1"/>
    <xf numFmtId="3" fontId="5" fillId="0" borderId="0" xfId="255" applyNumberFormat="1" applyFont="1" applyAlignment="1" applyProtection="1"/>
    <xf numFmtId="3" fontId="5" fillId="0" borderId="0" xfId="0" applyNumberFormat="1" applyFont="1" applyAlignment="1" applyProtection="1">
      <alignment horizontal="center"/>
    </xf>
    <xf numFmtId="0" fontId="3" fillId="0" borderId="0" xfId="255" applyNumberFormat="1" applyFont="1" applyAlignment="1" applyProtection="1">
      <alignment horizontal="center"/>
    </xf>
    <xf numFmtId="0" fontId="5" fillId="0" borderId="0" xfId="255" applyNumberFormat="1" applyFont="1" applyAlignment="1" applyProtection="1">
      <alignment horizontal="center"/>
    </xf>
    <xf numFmtId="49" fontId="5" fillId="0" borderId="0" xfId="255" applyNumberFormat="1" applyFont="1" applyAlignment="1" applyProtection="1">
      <alignment horizontal="center"/>
    </xf>
    <xf numFmtId="0" fontId="0" fillId="0" borderId="0" xfId="0" applyProtection="1"/>
    <xf numFmtId="3" fontId="21" fillId="0" borderId="0" xfId="0" applyNumberFormat="1" applyFont="1" applyAlignment="1" applyProtection="1">
      <alignment horizontal="center"/>
    </xf>
    <xf numFmtId="49" fontId="5" fillId="0" borderId="0" xfId="255" applyNumberFormat="1" applyFont="1" applyProtection="1"/>
    <xf numFmtId="39" fontId="5" fillId="0" borderId="0" xfId="86" applyNumberFormat="1" applyFont="1" applyAlignment="1" applyProtection="1">
      <alignment horizontal="center"/>
    </xf>
    <xf numFmtId="0" fontId="3" fillId="0" borderId="6" xfId="255" applyNumberFormat="1" applyFont="1" applyBorder="1" applyAlignment="1" applyProtection="1">
      <alignment horizontal="center"/>
    </xf>
    <xf numFmtId="0" fontId="5" fillId="0" borderId="0" xfId="255" applyNumberFormat="1" applyFont="1" applyBorder="1" applyAlignment="1" applyProtection="1">
      <alignment horizontal="center"/>
    </xf>
    <xf numFmtId="0" fontId="5" fillId="0" borderId="6" xfId="255" applyNumberFormat="1" applyFont="1" applyBorder="1" applyAlignment="1" applyProtection="1">
      <alignment horizontal="center"/>
    </xf>
    <xf numFmtId="0" fontId="5" fillId="0" borderId="0" xfId="0" applyNumberFormat="1" applyFont="1" applyProtection="1"/>
    <xf numFmtId="0" fontId="5" fillId="0" borderId="0" xfId="255" applyNumberFormat="1" applyFont="1" applyFill="1" applyProtection="1"/>
    <xf numFmtId="3" fontId="5" fillId="0" borderId="0" xfId="255" applyNumberFormat="1" applyFont="1" applyProtection="1"/>
    <xf numFmtId="0" fontId="5" fillId="0" borderId="0" xfId="255" applyNumberFormat="1" applyFont="1" applyAlignment="1" applyProtection="1">
      <alignment horizontal="left"/>
    </xf>
    <xf numFmtId="170" fontId="5" fillId="0" borderId="0" xfId="255" applyNumberFormat="1" applyFont="1" applyProtection="1"/>
    <xf numFmtId="3" fontId="5" fillId="0" borderId="0" xfId="255" applyNumberFormat="1" applyFont="1" applyFill="1" applyAlignment="1" applyProtection="1">
      <alignment horizontal="left"/>
    </xf>
    <xf numFmtId="3" fontId="5" fillId="0" borderId="0" xfId="255" applyNumberFormat="1" applyFont="1" applyFill="1" applyAlignment="1" applyProtection="1"/>
    <xf numFmtId="0" fontId="5" fillId="0" borderId="6" xfId="255" applyNumberFormat="1" applyFont="1" applyBorder="1" applyAlignment="1" applyProtection="1">
      <alignment horizontal="centerContinuous"/>
    </xf>
    <xf numFmtId="0" fontId="5" fillId="0" borderId="0" xfId="0" applyNumberFormat="1" applyFont="1" applyAlignment="1" applyProtection="1"/>
    <xf numFmtId="41" fontId="5" fillId="0" borderId="0" xfId="255" applyNumberFormat="1" applyFont="1" applyFill="1" applyBorder="1" applyAlignment="1" applyProtection="1"/>
    <xf numFmtId="3" fontId="5" fillId="0" borderId="0" xfId="255" applyNumberFormat="1" applyFont="1" applyFill="1" applyAlignment="1" applyProtection="1">
      <alignment horizontal="center"/>
    </xf>
    <xf numFmtId="165" fontId="5" fillId="0" borderId="0" xfId="255" applyNumberFormat="1" applyFont="1" applyFill="1" applyAlignment="1" applyProtection="1">
      <alignment horizontal="right"/>
    </xf>
    <xf numFmtId="42" fontId="5" fillId="0" borderId="0" xfId="255" applyNumberFormat="1" applyFont="1" applyBorder="1" applyAlignment="1" applyProtection="1"/>
    <xf numFmtId="0" fontId="3" fillId="0" borderId="0" xfId="255" applyNumberFormat="1" applyFont="1" applyFill="1" applyAlignment="1" applyProtection="1">
      <alignment horizontal="center"/>
    </xf>
    <xf numFmtId="0" fontId="5" fillId="0" borderId="0" xfId="255" applyNumberFormat="1" applyFont="1" applyFill="1" applyAlignment="1" applyProtection="1">
      <alignment horizontal="center"/>
    </xf>
    <xf numFmtId="0" fontId="5" fillId="0" borderId="0" xfId="0" applyNumberFormat="1" applyFont="1" applyAlignment="1" applyProtection="1">
      <alignment wrapText="1"/>
    </xf>
    <xf numFmtId="3" fontId="5" fillId="0" borderId="0" xfId="255" applyNumberFormat="1" applyFont="1" applyAlignment="1" applyProtection="1">
      <alignment horizontal="left"/>
    </xf>
    <xf numFmtId="3" fontId="5" fillId="0" borderId="0" xfId="255" applyNumberFormat="1" applyFont="1" applyAlignment="1" applyProtection="1">
      <alignment horizontal="center"/>
    </xf>
    <xf numFmtId="174" fontId="5" fillId="0" borderId="14" xfId="255" applyNumberFormat="1" applyFont="1" applyBorder="1" applyAlignment="1" applyProtection="1"/>
    <xf numFmtId="42" fontId="5" fillId="0" borderId="0" xfId="255" applyNumberFormat="1" applyFont="1" applyAlignment="1" applyProtection="1"/>
    <xf numFmtId="172" fontId="77" fillId="0" borderId="0" xfId="255" applyFont="1" applyAlignment="1" applyProtection="1">
      <alignment horizontal="center" wrapText="1"/>
    </xf>
    <xf numFmtId="0" fontId="5" fillId="0" borderId="0" xfId="0" applyNumberFormat="1" applyFont="1" applyFill="1" applyAlignment="1" applyProtection="1"/>
    <xf numFmtId="42" fontId="5" fillId="0" borderId="0" xfId="255" applyNumberFormat="1" applyFont="1" applyFill="1" applyAlignment="1" applyProtection="1"/>
    <xf numFmtId="41" fontId="5" fillId="0" borderId="0" xfId="255" applyNumberFormat="1" applyFont="1" applyFill="1" applyAlignment="1" applyProtection="1"/>
    <xf numFmtId="43" fontId="5" fillId="0" borderId="0" xfId="86" applyFont="1" applyProtection="1"/>
    <xf numFmtId="0" fontId="5" fillId="0" borderId="0" xfId="255" applyNumberFormat="1" applyFont="1" applyFill="1" applyAlignment="1" applyProtection="1"/>
    <xf numFmtId="171" fontId="5" fillId="0" borderId="0" xfId="255" applyNumberFormat="1" applyFont="1" applyProtection="1"/>
    <xf numFmtId="10" fontId="5" fillId="0" borderId="0" xfId="255" applyNumberFormat="1" applyFont="1" applyAlignment="1" applyProtection="1"/>
    <xf numFmtId="10" fontId="5" fillId="0" borderId="0" xfId="255" applyNumberFormat="1" applyFont="1" applyProtection="1"/>
    <xf numFmtId="0" fontId="32" fillId="0" borderId="0" xfId="0" applyFont="1" applyProtection="1"/>
    <xf numFmtId="10" fontId="5" fillId="0" borderId="0" xfId="267" applyNumberFormat="1" applyFont="1" applyFill="1" applyAlignment="1" applyProtection="1"/>
    <xf numFmtId="186" fontId="5" fillId="0" borderId="0" xfId="255" applyNumberFormat="1" applyFont="1" applyProtection="1"/>
    <xf numFmtId="0" fontId="5" fillId="0" borderId="0" xfId="0" applyNumberFormat="1" applyFont="1" applyFill="1" applyProtection="1"/>
    <xf numFmtId="41" fontId="5" fillId="0" borderId="0" xfId="255" applyNumberFormat="1" applyFont="1" applyAlignment="1" applyProtection="1">
      <alignment horizontal="center"/>
    </xf>
    <xf numFmtId="41" fontId="5" fillId="0" borderId="14" xfId="255" applyNumberFormat="1" applyFont="1" applyBorder="1" applyAlignment="1" applyProtection="1">
      <alignment horizontal="center"/>
    </xf>
    <xf numFmtId="41" fontId="5" fillId="0" borderId="0" xfId="255" applyNumberFormat="1" applyFont="1" applyAlignment="1" applyProtection="1">
      <alignment horizontal="right"/>
    </xf>
    <xf numFmtId="42" fontId="5" fillId="0" borderId="0" xfId="267" applyNumberFormat="1" applyFont="1" applyAlignment="1" applyProtection="1"/>
    <xf numFmtId="43" fontId="5" fillId="0" borderId="0" xfId="255" applyNumberFormat="1" applyFont="1" applyAlignment="1" applyProtection="1">
      <alignment horizontal="right"/>
    </xf>
    <xf numFmtId="43" fontId="5" fillId="0" borderId="0" xfId="86" applyFont="1" applyAlignment="1" applyProtection="1"/>
    <xf numFmtId="172" fontId="5" fillId="0" borderId="0" xfId="255" applyFont="1" applyAlignment="1" applyProtection="1">
      <alignment horizontal="right"/>
    </xf>
    <xf numFmtId="0" fontId="32" fillId="0" borderId="0" xfId="0" applyFont="1" applyAlignment="1" applyProtection="1">
      <alignment horizontal="center"/>
    </xf>
    <xf numFmtId="49" fontId="5" fillId="0" borderId="0" xfId="255" applyNumberFormat="1" applyFont="1" applyAlignment="1" applyProtection="1">
      <alignment horizontal="left"/>
    </xf>
    <xf numFmtId="0" fontId="3" fillId="0" borderId="0" xfId="255" applyNumberFormat="1" applyFont="1" applyAlignment="1" applyProtection="1">
      <alignment horizontal="center" vertical="center"/>
    </xf>
    <xf numFmtId="3" fontId="6" fillId="0" borderId="0" xfId="255" applyNumberFormat="1" applyFont="1" applyAlignment="1" applyProtection="1">
      <alignment horizontal="center"/>
    </xf>
    <xf numFmtId="172" fontId="6" fillId="0" borderId="0" xfId="255" applyFont="1" applyAlignment="1" applyProtection="1">
      <alignment horizontal="center"/>
    </xf>
    <xf numFmtId="49" fontId="6" fillId="0" borderId="0" xfId="255" applyNumberFormat="1" applyFont="1" applyAlignment="1" applyProtection="1">
      <alignment horizontal="center"/>
    </xf>
    <xf numFmtId="0" fontId="10" fillId="0" borderId="0" xfId="255" applyNumberFormat="1" applyFont="1" applyAlignment="1" applyProtection="1">
      <alignment horizontal="center"/>
    </xf>
    <xf numFmtId="172" fontId="10" fillId="0" borderId="0" xfId="255" applyFont="1" applyBorder="1" applyAlignment="1" applyProtection="1">
      <alignment horizontal="center"/>
    </xf>
    <xf numFmtId="3" fontId="6" fillId="0" borderId="0" xfId="255" applyNumberFormat="1" applyFont="1" applyAlignment="1" applyProtection="1"/>
    <xf numFmtId="0" fontId="3" fillId="0" borderId="0" xfId="255" applyNumberFormat="1" applyFont="1" applyBorder="1" applyAlignment="1" applyProtection="1">
      <alignment horizontal="center"/>
    </xf>
    <xf numFmtId="3" fontId="14" fillId="0" borderId="0" xfId="255" applyNumberFormat="1" applyFont="1" applyAlignment="1" applyProtection="1">
      <alignment horizontal="center"/>
    </xf>
    <xf numFmtId="3" fontId="5" fillId="0" borderId="0" xfId="255" applyNumberFormat="1" applyFont="1" applyFill="1" applyBorder="1" applyAlignment="1" applyProtection="1">
      <alignment horizontal="center"/>
    </xf>
    <xf numFmtId="0" fontId="28" fillId="0" borderId="0" xfId="255" applyNumberFormat="1" applyFont="1" applyBorder="1" applyAlignment="1" applyProtection="1"/>
    <xf numFmtId="0" fontId="5" fillId="0" borderId="0" xfId="255" applyNumberFormat="1" applyFont="1" applyAlignment="1" applyProtection="1">
      <alignment horizontal="center" vertical="center"/>
    </xf>
    <xf numFmtId="0" fontId="5" fillId="0" borderId="0" xfId="255" applyNumberFormat="1" applyFont="1" applyBorder="1" applyAlignment="1" applyProtection="1">
      <alignment vertical="center"/>
    </xf>
    <xf numFmtId="3" fontId="5" fillId="0" borderId="0" xfId="255" applyNumberFormat="1" applyFont="1" applyFill="1" applyAlignment="1" applyProtection="1">
      <alignment vertical="center" wrapText="1"/>
    </xf>
    <xf numFmtId="3" fontId="5" fillId="0" borderId="0" xfId="255" applyNumberFormat="1" applyFont="1" applyFill="1" applyAlignment="1" applyProtection="1">
      <alignment horizontal="center" vertical="center"/>
    </xf>
    <xf numFmtId="3" fontId="5" fillId="0" borderId="0" xfId="255" applyNumberFormat="1" applyFont="1" applyFill="1" applyAlignment="1" applyProtection="1">
      <alignment vertical="center"/>
    </xf>
    <xf numFmtId="41" fontId="5" fillId="0" borderId="0" xfId="255" applyNumberFormat="1" applyFont="1" applyFill="1" applyAlignment="1" applyProtection="1">
      <alignment vertical="center"/>
    </xf>
    <xf numFmtId="3" fontId="5" fillId="0" borderId="0" xfId="255" applyNumberFormat="1" applyFont="1" applyAlignment="1" applyProtection="1">
      <alignment vertical="center"/>
    </xf>
    <xf numFmtId="0" fontId="5" fillId="0" borderId="0" xfId="255" applyNumberFormat="1" applyFont="1" applyFill="1" applyBorder="1" applyAlignment="1" applyProtection="1"/>
    <xf numFmtId="0" fontId="5" fillId="0" borderId="0" xfId="255" applyNumberFormat="1" applyFont="1" applyBorder="1" applyAlignment="1" applyProtection="1"/>
    <xf numFmtId="41" fontId="5" fillId="0" borderId="6" xfId="255" applyNumberFormat="1" applyFont="1" applyFill="1" applyBorder="1" applyAlignment="1" applyProtection="1"/>
    <xf numFmtId="0" fontId="32" fillId="0" borderId="0" xfId="0" applyFont="1" applyAlignment="1" applyProtection="1"/>
    <xf numFmtId="172" fontId="6" fillId="0" borderId="0" xfId="255" applyFont="1" applyFill="1" applyAlignment="1" applyProtection="1">
      <alignment horizontal="right"/>
    </xf>
    <xf numFmtId="178" fontId="6" fillId="0" borderId="0" xfId="255" applyNumberFormat="1" applyFont="1" applyFill="1" applyAlignment="1" applyProtection="1">
      <alignment horizontal="right"/>
    </xf>
    <xf numFmtId="166" fontId="6" fillId="0" borderId="0" xfId="255" applyNumberFormat="1" applyFont="1" applyFill="1" applyAlignment="1" applyProtection="1">
      <alignment horizontal="right"/>
    </xf>
    <xf numFmtId="178" fontId="5" fillId="0" borderId="0" xfId="255" applyNumberFormat="1" applyFont="1" applyAlignment="1" applyProtection="1"/>
    <xf numFmtId="184" fontId="5" fillId="0" borderId="0" xfId="255" applyNumberFormat="1" applyFont="1" applyFill="1" applyAlignment="1" applyProtection="1"/>
    <xf numFmtId="183" fontId="5" fillId="0" borderId="0" xfId="255" applyNumberFormat="1" applyFont="1" applyFill="1" applyAlignment="1" applyProtection="1"/>
    <xf numFmtId="3" fontId="6" fillId="0" borderId="0" xfId="255" applyNumberFormat="1" applyFont="1" applyFill="1" applyAlignment="1" applyProtection="1">
      <alignment horizontal="right" vertical="center"/>
    </xf>
    <xf numFmtId="165" fontId="5" fillId="0" borderId="0" xfId="255" applyNumberFormat="1" applyFont="1" applyFill="1" applyAlignment="1" applyProtection="1"/>
    <xf numFmtId="0" fontId="5" fillId="0" borderId="0" xfId="255" applyNumberFormat="1" applyFont="1" applyFill="1" applyAlignment="1" applyProtection="1">
      <alignment horizontal="center" vertical="center"/>
    </xf>
    <xf numFmtId="0" fontId="32" fillId="0" borderId="0" xfId="0" applyFont="1" applyAlignment="1" applyProtection="1">
      <alignment wrapText="1"/>
    </xf>
    <xf numFmtId="0" fontId="32" fillId="0" borderId="0" xfId="0" applyFont="1" applyAlignment="1" applyProtection="1">
      <alignment horizontal="center" wrapText="1"/>
    </xf>
    <xf numFmtId="164" fontId="5" fillId="0" borderId="0" xfId="255" applyNumberFormat="1" applyFont="1" applyFill="1" applyAlignment="1" applyProtection="1">
      <alignment horizontal="center"/>
    </xf>
    <xf numFmtId="0" fontId="3" fillId="32" borderId="0" xfId="255" applyNumberFormat="1" applyFont="1" applyFill="1" applyAlignment="1" applyProtection="1">
      <alignment horizontal="center"/>
    </xf>
    <xf numFmtId="41" fontId="5" fillId="0" borderId="0" xfId="255" applyNumberFormat="1" applyFont="1" applyAlignment="1" applyProtection="1"/>
    <xf numFmtId="165" fontId="5" fillId="0" borderId="0" xfId="255" applyNumberFormat="1" applyFont="1" applyAlignment="1" applyProtection="1"/>
    <xf numFmtId="3" fontId="6" fillId="0" borderId="0" xfId="255" applyNumberFormat="1" applyFont="1" applyFill="1" applyAlignment="1" applyProtection="1">
      <alignment horizontal="right"/>
    </xf>
    <xf numFmtId="182" fontId="5" fillId="0" borderId="0" xfId="86" applyNumberFormat="1" applyFont="1" applyFill="1" applyAlignment="1" applyProtection="1"/>
    <xf numFmtId="172" fontId="5" fillId="0" borderId="0" xfId="255" applyFont="1" applyBorder="1" applyAlignment="1" applyProtection="1"/>
    <xf numFmtId="164" fontId="5" fillId="0" borderId="0" xfId="255" applyNumberFormat="1" applyFont="1" applyFill="1" applyAlignment="1" applyProtection="1">
      <alignment horizontal="left"/>
    </xf>
    <xf numFmtId="0" fontId="32" fillId="0" borderId="0" xfId="0" applyFont="1" applyFill="1" applyProtection="1"/>
    <xf numFmtId="175" fontId="5" fillId="0" borderId="0" xfId="255" applyNumberFormat="1" applyFont="1" applyAlignment="1" applyProtection="1"/>
    <xf numFmtId="41" fontId="5" fillId="0" borderId="0" xfId="255" applyNumberFormat="1" applyFont="1" applyAlignment="1" applyProtection="1">
      <alignment horizontal="center" vertical="center"/>
    </xf>
    <xf numFmtId="41" fontId="5" fillId="0" borderId="6" xfId="255" applyNumberFormat="1" applyFont="1" applyBorder="1" applyAlignment="1" applyProtection="1"/>
    <xf numFmtId="41" fontId="5" fillId="0" borderId="16" xfId="255" applyNumberFormat="1" applyFont="1" applyBorder="1" applyAlignment="1" applyProtection="1"/>
    <xf numFmtId="164" fontId="5" fillId="0" borderId="0" xfId="255" applyNumberFormat="1" applyFont="1" applyAlignment="1" applyProtection="1">
      <alignment horizontal="center"/>
    </xf>
    <xf numFmtId="0" fontId="85" fillId="0" borderId="0" xfId="255" applyNumberFormat="1" applyFont="1" applyAlignment="1" applyProtection="1">
      <alignment horizontal="center"/>
    </xf>
    <xf numFmtId="3" fontId="5" fillId="0" borderId="0" xfId="255" applyNumberFormat="1" applyFont="1" applyAlignment="1" applyProtection="1">
      <alignment horizontal="right"/>
    </xf>
    <xf numFmtId="172" fontId="5" fillId="0" borderId="0" xfId="255" applyFont="1" applyAlignment="1" applyProtection="1">
      <alignment horizontal="center"/>
    </xf>
    <xf numFmtId="172" fontId="5" fillId="0" borderId="0" xfId="255" applyFont="1" applyFill="1" applyAlignment="1" applyProtection="1">
      <alignment horizontal="center"/>
    </xf>
    <xf numFmtId="0" fontId="0" fillId="0" borderId="0" xfId="0" applyAlignment="1" applyProtection="1">
      <alignment horizontal="center"/>
    </xf>
    <xf numFmtId="0" fontId="6" fillId="0" borderId="0" xfId="255" applyNumberFormat="1" applyFont="1" applyAlignment="1" applyProtection="1">
      <alignment horizontal="center"/>
    </xf>
    <xf numFmtId="172" fontId="6" fillId="0" borderId="0" xfId="255" applyFont="1" applyAlignment="1" applyProtection="1"/>
    <xf numFmtId="3" fontId="10" fillId="0" borderId="0" xfId="255" applyNumberFormat="1" applyFont="1" applyAlignment="1" applyProtection="1">
      <alignment horizontal="center"/>
    </xf>
    <xf numFmtId="3" fontId="6" fillId="0" borderId="0" xfId="255" applyNumberFormat="1" applyFont="1" applyFill="1" applyAlignment="1" applyProtection="1"/>
    <xf numFmtId="3" fontId="10" fillId="0" borderId="0" xfId="255" applyNumberFormat="1" applyFont="1" applyFill="1" applyAlignment="1" applyProtection="1"/>
    <xf numFmtId="3" fontId="10" fillId="0" borderId="0" xfId="255" applyNumberFormat="1" applyFont="1" applyAlignment="1" applyProtection="1"/>
    <xf numFmtId="41" fontId="151" fillId="32" borderId="0" xfId="255" applyNumberFormat="1" applyFont="1" applyFill="1" applyAlignment="1" applyProtection="1">
      <alignment wrapText="1"/>
    </xf>
    <xf numFmtId="0" fontId="32" fillId="0" borderId="0" xfId="0" applyFont="1" applyBorder="1" applyProtection="1"/>
    <xf numFmtId="43" fontId="12" fillId="0" borderId="0" xfId="86" applyNumberFormat="1" applyFont="1" applyAlignment="1" applyProtection="1"/>
    <xf numFmtId="41" fontId="5" fillId="0" borderId="0" xfId="255" applyNumberFormat="1" applyFont="1" applyFill="1" applyAlignment="1" applyProtection="1">
      <alignment horizontal="center"/>
    </xf>
    <xf numFmtId="3" fontId="93" fillId="0" borderId="0" xfId="255" applyNumberFormat="1" applyFont="1" applyFill="1" applyAlignment="1" applyProtection="1">
      <alignment horizontal="right"/>
    </xf>
    <xf numFmtId="41" fontId="5" fillId="0" borderId="0" xfId="255" applyNumberFormat="1" applyFont="1" applyBorder="1" applyAlignment="1" applyProtection="1"/>
    <xf numFmtId="3" fontId="5" fillId="0" borderId="0" xfId="255" applyNumberFormat="1" applyFont="1" applyAlignment="1" applyProtection="1">
      <alignment vertical="center" wrapText="1"/>
    </xf>
    <xf numFmtId="41" fontId="93" fillId="0" borderId="0" xfId="255" applyNumberFormat="1" applyFont="1" applyFill="1" applyAlignment="1" applyProtection="1">
      <alignment horizontal="right"/>
    </xf>
    <xf numFmtId="3" fontId="5" fillId="0" borderId="0" xfId="255" applyNumberFormat="1" applyFont="1" applyAlignment="1" applyProtection="1">
      <alignment horizontal="center" vertical="center"/>
    </xf>
    <xf numFmtId="41" fontId="5" fillId="0" borderId="0" xfId="255" applyNumberFormat="1" applyFont="1" applyAlignment="1" applyProtection="1">
      <alignment vertical="center"/>
    </xf>
    <xf numFmtId="3" fontId="5" fillId="0" borderId="0" xfId="255" applyNumberFormat="1" applyFont="1" applyAlignment="1" applyProtection="1">
      <alignment horizontal="left" wrapText="1"/>
    </xf>
    <xf numFmtId="0" fontId="12" fillId="0" borderId="0" xfId="0" applyFont="1" applyAlignment="1" applyProtection="1">
      <alignment horizontal="left" wrapText="1"/>
    </xf>
    <xf numFmtId="3" fontId="5" fillId="0" borderId="0" xfId="255" applyNumberFormat="1" applyFont="1" applyFill="1" applyAlignment="1" applyProtection="1">
      <alignment horizontal="right"/>
    </xf>
    <xf numFmtId="43" fontId="5" fillId="0" borderId="0" xfId="267" applyNumberFormat="1" applyFont="1" applyFill="1" applyAlignment="1" applyProtection="1"/>
    <xf numFmtId="166" fontId="5" fillId="0" borderId="0" xfId="255" applyNumberFormat="1" applyFont="1" applyAlignment="1" applyProtection="1"/>
    <xf numFmtId="182" fontId="5" fillId="0" borderId="0" xfId="86" applyNumberFormat="1" applyFont="1" applyAlignment="1" applyProtection="1"/>
    <xf numFmtId="167" fontId="5" fillId="0" borderId="0" xfId="255" applyNumberFormat="1" applyFont="1" applyAlignment="1" applyProtection="1"/>
    <xf numFmtId="172" fontId="23" fillId="0" borderId="0" xfId="255" applyFont="1" applyAlignment="1" applyProtection="1"/>
    <xf numFmtId="164" fontId="5" fillId="0" borderId="0" xfId="255" applyNumberFormat="1" applyFont="1" applyBorder="1" applyAlignment="1" applyProtection="1">
      <alignment horizontal="left"/>
    </xf>
    <xf numFmtId="168" fontId="5" fillId="0" borderId="0" xfId="255" applyNumberFormat="1" applyFont="1" applyAlignment="1" applyProtection="1"/>
    <xf numFmtId="10" fontId="5" fillId="0" borderId="0" xfId="255" applyNumberFormat="1" applyFont="1" applyFill="1" applyAlignment="1" applyProtection="1">
      <alignment horizontal="right"/>
    </xf>
    <xf numFmtId="10" fontId="32" fillId="0" borderId="0" xfId="267" applyNumberFormat="1" applyFont="1" applyProtection="1"/>
    <xf numFmtId="3" fontId="23" fillId="0" borderId="0" xfId="255" applyNumberFormat="1" applyFont="1" applyAlignment="1" applyProtection="1"/>
    <xf numFmtId="167" fontId="5" fillId="0" borderId="0" xfId="255" applyNumberFormat="1" applyFont="1" applyFill="1" applyAlignment="1" applyProtection="1"/>
    <xf numFmtId="166" fontId="5" fillId="0" borderId="0" xfId="255" applyNumberFormat="1" applyFont="1" applyAlignment="1" applyProtection="1">
      <alignment horizontal="center"/>
    </xf>
    <xf numFmtId="188" fontId="23" fillId="0" borderId="0" xfId="255" applyNumberFormat="1" applyFont="1" applyAlignment="1" applyProtection="1">
      <alignment horizontal="center"/>
    </xf>
    <xf numFmtId="189" fontId="5" fillId="0" borderId="0" xfId="255" applyNumberFormat="1" applyFont="1" applyAlignment="1" applyProtection="1"/>
    <xf numFmtId="164" fontId="5" fillId="0" borderId="0" xfId="255" applyNumberFormat="1" applyFont="1" applyFill="1" applyBorder="1" applyAlignment="1" applyProtection="1">
      <alignment horizontal="left"/>
    </xf>
    <xf numFmtId="179" fontId="5" fillId="0" borderId="0" xfId="255" applyNumberFormat="1" applyFont="1" applyFill="1" applyAlignment="1" applyProtection="1">
      <alignment horizontal="right"/>
    </xf>
    <xf numFmtId="186" fontId="5" fillId="0" borderId="0" xfId="86" applyNumberFormat="1" applyFont="1" applyAlignment="1" applyProtection="1">
      <alignment horizontal="center"/>
    </xf>
    <xf numFmtId="41" fontId="23" fillId="0" borderId="0" xfId="255" applyNumberFormat="1" applyFont="1" applyAlignment="1" applyProtection="1"/>
    <xf numFmtId="43" fontId="23" fillId="0" borderId="0" xfId="86" applyFont="1" applyAlignment="1" applyProtection="1"/>
    <xf numFmtId="10" fontId="5" fillId="0" borderId="0" xfId="255" applyNumberFormat="1" applyFont="1" applyFill="1" applyAlignment="1" applyProtection="1">
      <alignment horizontal="left"/>
    </xf>
    <xf numFmtId="168" fontId="5" fillId="0" borderId="0" xfId="255" applyNumberFormat="1" applyFont="1" applyFill="1" applyAlignment="1" applyProtection="1">
      <alignment horizontal="left"/>
    </xf>
    <xf numFmtId="0" fontId="12" fillId="0" borderId="0" xfId="0" applyFont="1" applyProtection="1"/>
    <xf numFmtId="41" fontId="5" fillId="0" borderId="0" xfId="255" applyNumberFormat="1" applyFont="1" applyFill="1" applyAlignment="1" applyProtection="1">
      <alignment horizontal="right"/>
    </xf>
    <xf numFmtId="179" fontId="5" fillId="0" borderId="0" xfId="255" applyNumberFormat="1" applyFont="1" applyAlignment="1" applyProtection="1"/>
    <xf numFmtId="173" fontId="5" fillId="0" borderId="0" xfId="255" applyNumberFormat="1" applyFont="1" applyAlignment="1" applyProtection="1"/>
    <xf numFmtId="164" fontId="5" fillId="0" borderId="0" xfId="255" applyNumberFormat="1" applyFont="1" applyFill="1" applyBorder="1" applyAlignment="1" applyProtection="1">
      <alignment horizontal="left" vertical="center"/>
    </xf>
    <xf numFmtId="41" fontId="5" fillId="0" borderId="0" xfId="255" applyNumberFormat="1" applyFont="1" applyFill="1" applyAlignment="1" applyProtection="1">
      <alignment horizontal="center" vertical="center"/>
    </xf>
    <xf numFmtId="180" fontId="5" fillId="0" borderId="0" xfId="255" applyNumberFormat="1" applyFont="1" applyAlignment="1" applyProtection="1"/>
    <xf numFmtId="173" fontId="5" fillId="0" borderId="14" xfId="86" applyNumberFormat="1" applyFont="1" applyBorder="1" applyAlignment="1" applyProtection="1"/>
    <xf numFmtId="0" fontId="5" fillId="0" borderId="0" xfId="255" applyNumberFormat="1" applyFont="1" applyFill="1" applyBorder="1" applyAlignment="1" applyProtection="1">
      <alignment horizontal="left"/>
    </xf>
    <xf numFmtId="0" fontId="6" fillId="0" borderId="0" xfId="255" applyNumberFormat="1" applyFont="1" applyAlignment="1" applyProtection="1"/>
    <xf numFmtId="0" fontId="5" fillId="0" borderId="0" xfId="0" applyFont="1" applyFill="1" applyAlignment="1" applyProtection="1">
      <alignment horizontal="left"/>
    </xf>
    <xf numFmtId="0" fontId="5" fillId="0" borderId="0" xfId="255" applyNumberFormat="1" applyFont="1" applyFill="1" applyBorder="1" applyProtection="1"/>
    <xf numFmtId="3" fontId="5" fillId="0" borderId="0" xfId="255" applyNumberFormat="1" applyFont="1" applyFill="1" applyBorder="1" applyAlignment="1" applyProtection="1"/>
    <xf numFmtId="172" fontId="5" fillId="0" borderId="0" xfId="255" applyFont="1" applyFill="1" applyBorder="1" applyAlignment="1" applyProtection="1"/>
    <xf numFmtId="172" fontId="5" fillId="0" borderId="0" xfId="255" applyFont="1" applyFill="1" applyBorder="1" applyAlignment="1" applyProtection="1">
      <alignment horizontal="center"/>
    </xf>
    <xf numFmtId="3" fontId="5" fillId="0" borderId="0" xfId="255" applyNumberFormat="1" applyFont="1" applyFill="1" applyBorder="1" applyAlignment="1" applyProtection="1">
      <alignment horizontal="left"/>
    </xf>
    <xf numFmtId="0" fontId="5" fillId="0" borderId="0" xfId="255" applyNumberFormat="1" applyFont="1" applyFill="1" applyBorder="1" applyAlignment="1" applyProtection="1">
      <alignment horizontal="center"/>
    </xf>
    <xf numFmtId="49" fontId="5" fillId="0" borderId="0" xfId="255" applyNumberFormat="1" applyFont="1" applyFill="1" applyBorder="1" applyProtection="1"/>
    <xf numFmtId="49" fontId="5" fillId="0" borderId="0" xfId="255" applyNumberFormat="1" applyFont="1" applyFill="1" applyBorder="1" applyAlignment="1" applyProtection="1"/>
    <xf numFmtId="49" fontId="5" fillId="0" borderId="0" xfId="255" applyNumberFormat="1" applyFont="1" applyFill="1" applyBorder="1" applyAlignment="1" applyProtection="1">
      <alignment horizontal="center"/>
    </xf>
    <xf numFmtId="3" fontId="6" fillId="0" borderId="0" xfId="255" applyNumberFormat="1" applyFont="1" applyFill="1" applyBorder="1" applyAlignment="1" applyProtection="1">
      <alignment horizontal="right"/>
    </xf>
    <xf numFmtId="165" fontId="6" fillId="0" borderId="0" xfId="255" applyNumberFormat="1" applyFont="1" applyFill="1" applyBorder="1" applyAlignment="1" applyProtection="1">
      <alignment horizontal="right"/>
    </xf>
    <xf numFmtId="0" fontId="6" fillId="0" borderId="0" xfId="255" applyNumberFormat="1" applyFont="1" applyFill="1" applyAlignment="1" applyProtection="1"/>
    <xf numFmtId="3" fontId="5" fillId="0" borderId="0" xfId="255" applyNumberFormat="1" applyFont="1" applyFill="1" applyProtection="1"/>
    <xf numFmtId="3" fontId="5" fillId="0" borderId="0" xfId="255" applyNumberFormat="1" applyFont="1" applyFill="1" applyAlignment="1" applyProtection="1">
      <alignment horizontal="center" wrapText="1"/>
    </xf>
    <xf numFmtId="173" fontId="5" fillId="0" borderId="0" xfId="86" applyNumberFormat="1" applyFont="1" applyFill="1" applyAlignment="1" applyProtection="1"/>
    <xf numFmtId="4" fontId="5" fillId="0" borderId="0" xfId="255" applyNumberFormat="1" applyFont="1" applyAlignment="1" applyProtection="1"/>
    <xf numFmtId="172" fontId="6" fillId="0" borderId="0" xfId="255" applyFont="1" applyAlignment="1" applyProtection="1">
      <alignment horizontal="right"/>
    </xf>
    <xf numFmtId="165" fontId="6" fillId="0" borderId="0" xfId="255" applyNumberFormat="1" applyFont="1" applyAlignment="1" applyProtection="1"/>
    <xf numFmtId="0" fontId="10" fillId="0" borderId="0" xfId="255" applyNumberFormat="1" applyFont="1" applyFill="1" applyBorder="1" applyAlignment="1" applyProtection="1"/>
    <xf numFmtId="3" fontId="5" fillId="0" borderId="6" xfId="255" applyNumberFormat="1" applyFont="1" applyFill="1" applyBorder="1" applyAlignment="1" applyProtection="1">
      <alignment horizontal="center"/>
    </xf>
    <xf numFmtId="41" fontId="6" fillId="0" borderId="0" xfId="255" applyNumberFormat="1" applyFont="1" applyFill="1" applyAlignment="1" applyProtection="1"/>
    <xf numFmtId="0" fontId="14" fillId="0" borderId="0" xfId="255" applyNumberFormat="1" applyFont="1" applyFill="1" applyBorder="1" applyAlignment="1" applyProtection="1">
      <alignment horizontal="left"/>
    </xf>
    <xf numFmtId="3" fontId="5" fillId="32" borderId="0" xfId="255" applyNumberFormat="1" applyFont="1" applyFill="1" applyAlignment="1" applyProtection="1"/>
    <xf numFmtId="0" fontId="12" fillId="0" borderId="0" xfId="0" applyFont="1" applyFill="1" applyProtection="1"/>
    <xf numFmtId="0" fontId="5" fillId="0" borderId="0" xfId="255" applyNumberFormat="1" applyFont="1" applyFill="1" applyAlignment="1" applyProtection="1">
      <alignment horizontal="left"/>
    </xf>
    <xf numFmtId="0" fontId="5" fillId="0" borderId="6" xfId="255" applyNumberFormat="1" applyFont="1" applyFill="1" applyBorder="1" applyAlignment="1" applyProtection="1">
      <alignment horizontal="center"/>
    </xf>
    <xf numFmtId="182" fontId="5" fillId="0" borderId="6" xfId="86" applyNumberFormat="1" applyFont="1" applyFill="1" applyBorder="1" applyAlignment="1" applyProtection="1">
      <alignment horizontal="center"/>
    </xf>
    <xf numFmtId="10" fontId="5" fillId="0" borderId="0" xfId="255" applyNumberFormat="1" applyFont="1" applyFill="1" applyAlignment="1" applyProtection="1"/>
    <xf numFmtId="169" fontId="5" fillId="0" borderId="17" xfId="255" applyNumberFormat="1" applyFont="1" applyFill="1" applyBorder="1" applyAlignment="1" applyProtection="1"/>
    <xf numFmtId="169" fontId="5" fillId="0" borderId="0" xfId="255" applyNumberFormat="1" applyFont="1" applyFill="1" applyBorder="1" applyAlignment="1" applyProtection="1"/>
    <xf numFmtId="169" fontId="5" fillId="0" borderId="6" xfId="255" applyNumberFormat="1" applyFont="1" applyFill="1" applyBorder="1" applyAlignment="1" applyProtection="1"/>
    <xf numFmtId="182" fontId="12" fillId="0" borderId="0" xfId="86" applyNumberFormat="1" applyFont="1" applyFill="1" applyProtection="1"/>
    <xf numFmtId="169" fontId="6" fillId="0" borderId="0" xfId="255" applyNumberFormat="1" applyFont="1" applyFill="1" applyAlignment="1" applyProtection="1"/>
    <xf numFmtId="0" fontId="3" fillId="31" borderId="0" xfId="255" applyNumberFormat="1" applyFont="1" applyFill="1" applyAlignment="1" applyProtection="1">
      <alignment horizontal="center"/>
    </xf>
    <xf numFmtId="0" fontId="5" fillId="31" borderId="0" xfId="255" applyNumberFormat="1" applyFont="1" applyFill="1" applyAlignment="1" applyProtection="1">
      <alignment horizontal="center"/>
    </xf>
    <xf numFmtId="0" fontId="10" fillId="31" borderId="0" xfId="255" applyNumberFormat="1" applyFont="1" applyFill="1" applyBorder="1" applyAlignment="1" applyProtection="1"/>
    <xf numFmtId="0" fontId="5" fillId="31" borderId="0" xfId="255" applyNumberFormat="1" applyFont="1" applyFill="1" applyBorder="1" applyAlignment="1" applyProtection="1">
      <alignment horizontal="left"/>
    </xf>
    <xf numFmtId="3" fontId="5" fillId="31" borderId="0" xfId="255" applyNumberFormat="1" applyFont="1" applyFill="1" applyAlignment="1" applyProtection="1"/>
    <xf numFmtId="172" fontId="5" fillId="31" borderId="0" xfId="255" applyFont="1" applyFill="1" applyAlignment="1" applyProtection="1"/>
    <xf numFmtId="3" fontId="6" fillId="31" borderId="0" xfId="255" applyNumberFormat="1" applyFont="1" applyFill="1" applyAlignment="1" applyProtection="1"/>
    <xf numFmtId="166" fontId="6" fillId="31" borderId="0" xfId="255" applyNumberFormat="1" applyFont="1" applyFill="1" applyProtection="1"/>
    <xf numFmtId="0" fontId="5" fillId="31" borderId="0" xfId="255" applyNumberFormat="1" applyFont="1" applyFill="1" applyBorder="1" applyAlignment="1" applyProtection="1"/>
    <xf numFmtId="3" fontId="5" fillId="31" borderId="6" xfId="255" applyNumberFormat="1" applyFont="1" applyFill="1" applyBorder="1" applyAlignment="1" applyProtection="1">
      <alignment horizontal="center"/>
    </xf>
    <xf numFmtId="41" fontId="5" fillId="31" borderId="0" xfId="255" applyNumberFormat="1" applyFont="1" applyFill="1" applyAlignment="1" applyProtection="1"/>
    <xf numFmtId="0" fontId="14" fillId="31" borderId="0" xfId="255" applyNumberFormat="1" applyFont="1" applyFill="1" applyBorder="1" applyAlignment="1" applyProtection="1">
      <alignment horizontal="left"/>
    </xf>
    <xf numFmtId="0" fontId="0" fillId="31" borderId="0" xfId="0" applyFill="1" applyProtection="1"/>
    <xf numFmtId="0" fontId="5" fillId="31" borderId="0" xfId="255" applyNumberFormat="1" applyFont="1" applyFill="1" applyProtection="1"/>
    <xf numFmtId="0" fontId="32" fillId="31" borderId="0" xfId="0" applyFont="1" applyFill="1" applyProtection="1"/>
    <xf numFmtId="41" fontId="19" fillId="31" borderId="0" xfId="255" applyNumberFormat="1" applyFont="1" applyFill="1" applyAlignment="1" applyProtection="1"/>
    <xf numFmtId="10" fontId="5" fillId="31" borderId="0" xfId="267" applyNumberFormat="1" applyFont="1" applyFill="1" applyAlignment="1" applyProtection="1"/>
    <xf numFmtId="41" fontId="19" fillId="31" borderId="6" xfId="255" applyNumberFormat="1" applyFont="1" applyFill="1" applyBorder="1" applyAlignment="1" applyProtection="1"/>
    <xf numFmtId="0" fontId="5" fillId="31" borderId="0" xfId="255" applyNumberFormat="1" applyFont="1" applyFill="1" applyAlignment="1" applyProtection="1">
      <alignment horizontal="left"/>
    </xf>
    <xf numFmtId="3" fontId="23" fillId="31" borderId="0" xfId="255" applyNumberFormat="1" applyFont="1" applyFill="1" applyAlignment="1" applyProtection="1"/>
    <xf numFmtId="0" fontId="5" fillId="31" borderId="6" xfId="255" applyNumberFormat="1" applyFont="1" applyFill="1" applyBorder="1" applyAlignment="1" applyProtection="1">
      <alignment horizontal="center"/>
    </xf>
    <xf numFmtId="182" fontId="5" fillId="31" borderId="6" xfId="86" applyNumberFormat="1" applyFont="1" applyFill="1" applyBorder="1" applyAlignment="1" applyProtection="1">
      <alignment horizontal="center"/>
    </xf>
    <xf numFmtId="10" fontId="5" fillId="31" borderId="0" xfId="255" applyNumberFormat="1" applyFont="1" applyFill="1" applyAlignment="1" applyProtection="1"/>
    <xf numFmtId="169" fontId="23" fillId="31" borderId="0" xfId="255" applyNumberFormat="1" applyFont="1" applyFill="1" applyAlignment="1" applyProtection="1"/>
    <xf numFmtId="169" fontId="5" fillId="31" borderId="17" xfId="255" applyNumberFormat="1" applyFont="1" applyFill="1" applyBorder="1" applyAlignment="1" applyProtection="1"/>
    <xf numFmtId="3" fontId="5" fillId="0" borderId="0" xfId="255" quotePrefix="1" applyNumberFormat="1" applyFont="1" applyAlignment="1" applyProtection="1"/>
    <xf numFmtId="169" fontId="5" fillId="31" borderId="0" xfId="255" applyNumberFormat="1" applyFont="1" applyFill="1" applyBorder="1" applyAlignment="1" applyProtection="1"/>
    <xf numFmtId="10" fontId="5" fillId="31" borderId="0" xfId="255" applyNumberFormat="1" applyFont="1" applyFill="1" applyBorder="1" applyAlignment="1" applyProtection="1"/>
    <xf numFmtId="41" fontId="5" fillId="31" borderId="6" xfId="255" applyNumberFormat="1" applyFont="1" applyFill="1" applyBorder="1" applyAlignment="1" applyProtection="1"/>
    <xf numFmtId="169" fontId="5" fillId="31" borderId="6" xfId="255" applyNumberFormat="1" applyFont="1" applyFill="1" applyBorder="1" applyAlignment="1" applyProtection="1"/>
    <xf numFmtId="182" fontId="22" fillId="31" borderId="0" xfId="86" applyNumberFormat="1" applyFont="1" applyFill="1" applyProtection="1"/>
    <xf numFmtId="3" fontId="6" fillId="31" borderId="0" xfId="255" applyNumberFormat="1" applyFont="1" applyFill="1" applyAlignment="1" applyProtection="1">
      <alignment horizontal="right"/>
    </xf>
    <xf numFmtId="169" fontId="6" fillId="31" borderId="0" xfId="255" applyNumberFormat="1" applyFont="1" applyFill="1" applyAlignment="1" applyProtection="1"/>
    <xf numFmtId="3" fontId="6" fillId="0" borderId="0" xfId="255" quotePrefix="1" applyNumberFormat="1" applyFont="1" applyAlignment="1" applyProtection="1"/>
    <xf numFmtId="0" fontId="0" fillId="0" borderId="0" xfId="0" applyFill="1" applyProtection="1"/>
    <xf numFmtId="0" fontId="5" fillId="0" borderId="0" xfId="0" applyFont="1" applyFill="1" applyProtection="1"/>
    <xf numFmtId="0" fontId="5" fillId="0" borderId="0" xfId="0" applyFont="1" applyProtection="1"/>
    <xf numFmtId="172" fontId="5" fillId="0" borderId="0" xfId="255" applyNumberFormat="1" applyFont="1" applyAlignment="1" applyProtection="1"/>
    <xf numFmtId="172" fontId="5" fillId="0" borderId="0" xfId="255" applyFont="1" applyFill="1" applyAlignment="1" applyProtection="1">
      <alignment horizontal="right"/>
    </xf>
    <xf numFmtId="172" fontId="10" fillId="0" borderId="0" xfId="255" applyFont="1" applyAlignment="1" applyProtection="1">
      <alignment horizontal="center"/>
    </xf>
    <xf numFmtId="172" fontId="3" fillId="0" borderId="0" xfId="255" applyFont="1" applyFill="1" applyAlignment="1" applyProtection="1">
      <alignment horizontal="center"/>
    </xf>
    <xf numFmtId="172" fontId="3" fillId="0" borderId="0" xfId="255" applyFont="1" applyFill="1" applyAlignment="1" applyProtection="1"/>
    <xf numFmtId="10" fontId="5" fillId="0" borderId="0" xfId="255" applyNumberFormat="1" applyFont="1" applyFill="1" applyProtection="1"/>
    <xf numFmtId="0" fontId="12" fillId="0" borderId="0" xfId="0" applyFont="1" applyAlignment="1" applyProtection="1"/>
    <xf numFmtId="0" fontId="22" fillId="0" borderId="0" xfId="0" applyFont="1" applyAlignment="1" applyProtection="1"/>
    <xf numFmtId="0" fontId="26" fillId="0" borderId="0" xfId="255" applyNumberFormat="1" applyFont="1" applyFill="1" applyAlignment="1" applyProtection="1"/>
    <xf numFmtId="0" fontId="107" fillId="0" borderId="0" xfId="255" applyNumberFormat="1" applyFont="1" applyFill="1" applyAlignment="1" applyProtection="1"/>
    <xf numFmtId="0" fontId="26" fillId="0" borderId="0" xfId="255" applyNumberFormat="1" applyFont="1" applyFill="1" applyProtection="1"/>
    <xf numFmtId="172" fontId="26" fillId="0" borderId="0" xfId="255" applyFont="1" applyFill="1" applyAlignment="1" applyProtection="1"/>
    <xf numFmtId="0" fontId="26" fillId="0" borderId="0" xfId="0" applyFont="1" applyAlignment="1" applyProtection="1">
      <alignment vertical="top" wrapText="1"/>
    </xf>
    <xf numFmtId="172" fontId="26" fillId="0" borderId="0" xfId="255" applyFont="1" applyFill="1" applyAlignment="1" applyProtection="1">
      <alignment wrapText="1"/>
    </xf>
    <xf numFmtId="172" fontId="107" fillId="0" borderId="0" xfId="255" applyFont="1" applyFill="1" applyAlignment="1" applyProtection="1"/>
    <xf numFmtId="172" fontId="23" fillId="0" borderId="0" xfId="255" applyFont="1" applyFill="1" applyAlignment="1" applyProtection="1"/>
    <xf numFmtId="0" fontId="3" fillId="0" borderId="0" xfId="255" applyNumberFormat="1" applyFont="1" applyFill="1" applyProtection="1"/>
    <xf numFmtId="172" fontId="3" fillId="0" borderId="0" xfId="255" applyFont="1" applyFill="1" applyAlignment="1" applyProtection="1">
      <alignment horizontal="center" wrapText="1"/>
    </xf>
    <xf numFmtId="172" fontId="77" fillId="0" borderId="0" xfId="255" applyFont="1" applyFill="1" applyAlignment="1" applyProtection="1">
      <alignment horizontal="center" wrapText="1"/>
    </xf>
    <xf numFmtId="0" fontId="5" fillId="32" borderId="0" xfId="255" applyNumberFormat="1" applyFont="1" applyFill="1" applyAlignment="1" applyProtection="1">
      <alignment vertical="top" wrapText="1"/>
    </xf>
    <xf numFmtId="0" fontId="12" fillId="32" borderId="0" xfId="0" applyFont="1" applyFill="1" applyProtection="1"/>
    <xf numFmtId="0" fontId="93" fillId="0" borderId="0" xfId="255" applyNumberFormat="1" applyFont="1" applyFill="1" applyAlignment="1" applyProtection="1">
      <alignment horizontal="center"/>
    </xf>
    <xf numFmtId="172" fontId="23" fillId="0" borderId="0" xfId="255" applyFont="1" applyAlignment="1" applyProtection="1">
      <alignment wrapText="1"/>
    </xf>
    <xf numFmtId="173" fontId="19" fillId="0" borderId="0" xfId="86" applyNumberFormat="1" applyFont="1" applyFill="1" applyAlignment="1" applyProtection="1">
      <alignment horizontal="right"/>
    </xf>
    <xf numFmtId="10" fontId="19" fillId="30" borderId="0" xfId="267" applyNumberFormat="1" applyFont="1" applyFill="1" applyAlignment="1" applyProtection="1">
      <protection locked="0"/>
    </xf>
    <xf numFmtId="0" fontId="19" fillId="30" borderId="0" xfId="86" applyNumberFormat="1" applyFont="1" applyFill="1" applyAlignment="1" applyProtection="1">
      <protection locked="0"/>
    </xf>
    <xf numFmtId="0" fontId="5" fillId="0" borderId="0" xfId="0" applyFont="1" applyAlignment="1" applyProtection="1">
      <alignment horizontal="center"/>
    </xf>
    <xf numFmtId="0" fontId="12" fillId="0" borderId="0" xfId="207" applyFont="1" applyBorder="1" applyProtection="1"/>
    <xf numFmtId="0" fontId="5" fillId="0" borderId="0" xfId="207" applyFont="1" applyBorder="1" applyAlignment="1" applyProtection="1">
      <alignment horizontal="center"/>
    </xf>
    <xf numFmtId="0" fontId="12" fillId="0" borderId="0" xfId="207" applyFont="1" applyBorder="1" applyAlignment="1" applyProtection="1">
      <alignment horizontal="center"/>
    </xf>
    <xf numFmtId="0" fontId="17" fillId="0" borderId="0" xfId="248" applyFont="1" applyAlignment="1" applyProtection="1">
      <alignment horizontal="center"/>
    </xf>
    <xf numFmtId="0" fontId="12" fillId="0" borderId="0" xfId="0" applyFont="1" applyBorder="1" applyProtection="1"/>
    <xf numFmtId="0" fontId="12" fillId="0" borderId="0" xfId="207" applyFont="1" applyFill="1" applyBorder="1" applyProtection="1"/>
    <xf numFmtId="0" fontId="12" fillId="0" borderId="0" xfId="207" applyFont="1" applyFill="1" applyBorder="1" applyAlignment="1" applyProtection="1">
      <alignment horizontal="center" wrapText="1"/>
    </xf>
    <xf numFmtId="0" fontId="9" fillId="0" borderId="0" xfId="207" applyFont="1" applyFill="1" applyBorder="1" applyAlignment="1" applyProtection="1">
      <alignment horizontal="left"/>
    </xf>
    <xf numFmtId="0" fontId="12" fillId="0" borderId="0" xfId="207" applyFont="1" applyFill="1" applyBorder="1" applyAlignment="1" applyProtection="1"/>
    <xf numFmtId="0" fontId="12" fillId="0" borderId="0" xfId="207" applyNumberFormat="1" applyFont="1" applyFill="1" applyBorder="1" applyAlignment="1" applyProtection="1">
      <alignment horizontal="center"/>
    </xf>
    <xf numFmtId="3" fontId="12" fillId="0" borderId="0" xfId="207" applyNumberFormat="1" applyFont="1" applyFill="1" applyBorder="1" applyAlignment="1" applyProtection="1"/>
    <xf numFmtId="0" fontId="9" fillId="0" borderId="0" xfId="207" applyNumberFormat="1" applyFont="1" applyFill="1" applyBorder="1" applyAlignment="1" applyProtection="1">
      <alignment horizontal="left"/>
    </xf>
    <xf numFmtId="173" fontId="0" fillId="0" borderId="0" xfId="86" applyNumberFormat="1" applyFont="1" applyFill="1" applyProtection="1"/>
    <xf numFmtId="173" fontId="12" fillId="0" borderId="0" xfId="89" applyNumberFormat="1" applyFont="1" applyFill="1" applyBorder="1" applyAlignment="1" applyProtection="1">
      <alignment horizontal="right"/>
    </xf>
    <xf numFmtId="0" fontId="12" fillId="0" borderId="0" xfId="207" applyNumberFormat="1" applyFont="1" applyFill="1" applyBorder="1" applyAlignment="1" applyProtection="1">
      <alignment horizontal="left"/>
    </xf>
    <xf numFmtId="0" fontId="12" fillId="0" borderId="0" xfId="207" applyFont="1" applyBorder="1" applyAlignment="1" applyProtection="1"/>
    <xf numFmtId="0" fontId="7" fillId="0" borderId="0" xfId="207" applyFont="1" applyFill="1" applyBorder="1" applyAlignment="1" applyProtection="1">
      <alignment horizontal="left"/>
    </xf>
    <xf numFmtId="0" fontId="2" fillId="0" borderId="0" xfId="0" applyFont="1" applyProtection="1"/>
    <xf numFmtId="173" fontId="8" fillId="30" borderId="0" xfId="89" applyNumberFormat="1" applyFont="1" applyFill="1" applyBorder="1" applyAlignment="1" applyProtection="1">
      <alignment horizontal="right"/>
      <protection locked="0"/>
    </xf>
    <xf numFmtId="49" fontId="5" fillId="0" borderId="0" xfId="248" applyNumberFormat="1" applyFont="1" applyAlignment="1" applyProtection="1">
      <alignment horizontal="center"/>
    </xf>
    <xf numFmtId="0" fontId="0" fillId="0" borderId="0" xfId="0" applyAlignment="1" applyProtection="1"/>
    <xf numFmtId="0" fontId="9" fillId="0" borderId="0" xfId="207" applyFont="1" applyBorder="1" applyAlignment="1" applyProtection="1">
      <alignment horizontal="center"/>
    </xf>
    <xf numFmtId="0" fontId="9" fillId="0" borderId="0" xfId="207" applyFont="1" applyFill="1" applyBorder="1" applyAlignment="1" applyProtection="1">
      <alignment horizontal="center"/>
    </xf>
    <xf numFmtId="0" fontId="9" fillId="0" borderId="0" xfId="207" applyFont="1" applyBorder="1" applyAlignment="1" applyProtection="1"/>
    <xf numFmtId="0" fontId="13" fillId="0" borderId="0" xfId="0" applyFont="1" applyBorder="1" applyProtection="1"/>
    <xf numFmtId="3" fontId="13" fillId="0" borderId="0" xfId="207" applyNumberFormat="1" applyFont="1" applyBorder="1" applyAlignment="1" applyProtection="1">
      <alignment horizontal="center"/>
    </xf>
    <xf numFmtId="0" fontId="9" fillId="0" borderId="0" xfId="207" applyNumberFormat="1" applyFont="1" applyFill="1" applyBorder="1" applyAlignment="1" applyProtection="1">
      <alignment horizontal="center"/>
    </xf>
    <xf numFmtId="0" fontId="17" fillId="0" borderId="0" xfId="207" applyFont="1" applyFill="1" applyBorder="1" applyAlignment="1" applyProtection="1">
      <alignment horizontal="center"/>
    </xf>
    <xf numFmtId="0" fontId="13" fillId="0" borderId="0" xfId="207" applyNumberFormat="1" applyFont="1" applyFill="1" applyBorder="1" applyAlignment="1" applyProtection="1">
      <alignment horizontal="left"/>
    </xf>
    <xf numFmtId="173" fontId="13" fillId="0" borderId="0" xfId="89" applyNumberFormat="1" applyFont="1" applyFill="1" applyBorder="1" applyAlignment="1" applyProtection="1">
      <alignment horizontal="right"/>
    </xf>
    <xf numFmtId="164" fontId="12" fillId="0" borderId="0" xfId="269" applyNumberFormat="1" applyFont="1" applyFill="1" applyBorder="1" applyAlignment="1" applyProtection="1"/>
    <xf numFmtId="173" fontId="12" fillId="0" borderId="0" xfId="89" applyNumberFormat="1" applyFont="1" applyFill="1" applyBorder="1" applyAlignment="1" applyProtection="1">
      <alignment horizontal="left"/>
    </xf>
    <xf numFmtId="0" fontId="8" fillId="0" borderId="0" xfId="207" applyFont="1" applyFill="1" applyBorder="1" applyAlignment="1" applyProtection="1"/>
    <xf numFmtId="0" fontId="87" fillId="0" borderId="0" xfId="0" applyFont="1" applyBorder="1" applyAlignment="1" applyProtection="1">
      <alignment horizontal="center"/>
    </xf>
    <xf numFmtId="38" fontId="12" fillId="0" borderId="0" xfId="0" applyNumberFormat="1" applyFont="1" applyFill="1" applyBorder="1" applyAlignment="1" applyProtection="1"/>
    <xf numFmtId="0" fontId="12" fillId="0" borderId="0" xfId="248" applyFont="1" applyProtection="1"/>
    <xf numFmtId="0" fontId="12" fillId="25" borderId="0" xfId="207" applyNumberFormat="1" applyFont="1" applyFill="1" applyBorder="1" applyAlignment="1" applyProtection="1">
      <alignment horizontal="center"/>
    </xf>
    <xf numFmtId="0" fontId="9" fillId="25" borderId="0" xfId="207" applyNumberFormat="1" applyFont="1" applyFill="1" applyBorder="1" applyAlignment="1" applyProtection="1">
      <alignment horizontal="left"/>
    </xf>
    <xf numFmtId="0" fontId="8" fillId="25" borderId="0" xfId="207" applyFont="1" applyFill="1" applyBorder="1" applyAlignment="1" applyProtection="1"/>
    <xf numFmtId="0" fontId="12" fillId="25" borderId="0" xfId="207" applyNumberFormat="1" applyFont="1" applyFill="1" applyBorder="1" applyAlignment="1" applyProtection="1">
      <alignment horizontal="left"/>
    </xf>
    <xf numFmtId="0" fontId="12" fillId="25" borderId="0" xfId="207" applyFont="1" applyFill="1" applyBorder="1" applyProtection="1"/>
    <xf numFmtId="173" fontId="12" fillId="25" borderId="0" xfId="89" applyNumberFormat="1" applyFont="1" applyFill="1" applyBorder="1" applyAlignment="1" applyProtection="1">
      <alignment horizontal="right"/>
    </xf>
    <xf numFmtId="0" fontId="0" fillId="25" borderId="0" xfId="0" applyFill="1" applyBorder="1" applyProtection="1"/>
    <xf numFmtId="164" fontId="12" fillId="25" borderId="0" xfId="269" applyNumberFormat="1" applyFont="1" applyFill="1" applyBorder="1" applyAlignment="1" applyProtection="1"/>
    <xf numFmtId="173" fontId="12" fillId="25" borderId="0" xfId="89" applyNumberFormat="1" applyFont="1" applyFill="1" applyBorder="1" applyAlignment="1" applyProtection="1">
      <alignment horizontal="left"/>
    </xf>
    <xf numFmtId="0" fontId="81" fillId="0" borderId="0" xfId="207" applyNumberFormat="1" applyFont="1" applyFill="1" applyBorder="1" applyAlignment="1" applyProtection="1">
      <alignment horizontal="left"/>
    </xf>
    <xf numFmtId="0" fontId="12" fillId="0" borderId="0" xfId="248" applyFont="1" applyFill="1" applyProtection="1"/>
    <xf numFmtId="9" fontId="9" fillId="0" borderId="0" xfId="248" quotePrefix="1" applyNumberFormat="1" applyFont="1" applyFill="1" applyAlignment="1" applyProtection="1">
      <alignment horizontal="center"/>
    </xf>
    <xf numFmtId="0" fontId="9" fillId="0" borderId="0" xfId="248" applyFont="1" applyFill="1" applyAlignment="1" applyProtection="1">
      <alignment horizontal="center"/>
    </xf>
    <xf numFmtId="0" fontId="69" fillId="0" borderId="0" xfId="248" applyFont="1" applyFill="1" applyAlignment="1" applyProtection="1">
      <alignment horizontal="center"/>
    </xf>
    <xf numFmtId="0" fontId="17" fillId="0" borderId="0" xfId="248" applyFont="1" applyFill="1" applyAlignment="1" applyProtection="1">
      <alignment horizontal="center"/>
    </xf>
    <xf numFmtId="0" fontId="86" fillId="0" borderId="0" xfId="248" applyFont="1" applyFill="1" applyAlignment="1" applyProtection="1">
      <alignment horizontal="center"/>
    </xf>
    <xf numFmtId="38" fontId="12" fillId="0" borderId="0" xfId="207" applyNumberFormat="1" applyFont="1" applyFill="1" applyBorder="1" applyAlignment="1" applyProtection="1">
      <alignment horizontal="right"/>
    </xf>
    <xf numFmtId="37" fontId="12" fillId="0" borderId="0" xfId="207" applyNumberFormat="1" applyFont="1" applyFill="1" applyBorder="1" applyAlignment="1" applyProtection="1">
      <alignment horizontal="right"/>
    </xf>
    <xf numFmtId="0" fontId="12" fillId="0" borderId="0" xfId="207" applyNumberFormat="1" applyFont="1" applyFill="1" applyBorder="1" applyAlignment="1" applyProtection="1">
      <alignment horizontal="right"/>
    </xf>
    <xf numFmtId="38" fontId="12" fillId="0" borderId="0" xfId="0" applyNumberFormat="1" applyFont="1" applyBorder="1" applyAlignment="1" applyProtection="1">
      <alignment horizontal="right"/>
    </xf>
    <xf numFmtId="38" fontId="8" fillId="0" borderId="0" xfId="207" applyNumberFormat="1" applyFont="1" applyFill="1" applyBorder="1" applyAlignment="1" applyProtection="1"/>
    <xf numFmtId="37" fontId="8" fillId="0" borderId="0" xfId="207" applyNumberFormat="1" applyFont="1" applyFill="1" applyBorder="1" applyAlignment="1" applyProtection="1"/>
    <xf numFmtId="0" fontId="9" fillId="0" borderId="0" xfId="207" applyFont="1" applyBorder="1" applyProtection="1"/>
    <xf numFmtId="173" fontId="8" fillId="0" borderId="14" xfId="86" applyNumberFormat="1" applyFont="1" applyFill="1" applyBorder="1" applyAlignment="1" applyProtection="1"/>
    <xf numFmtId="0" fontId="12" fillId="0" borderId="14" xfId="207" applyNumberFormat="1" applyFont="1" applyFill="1" applyBorder="1" applyAlignment="1" applyProtection="1">
      <alignment horizontal="left"/>
    </xf>
    <xf numFmtId="173" fontId="12" fillId="0" borderId="14" xfId="89" applyNumberFormat="1" applyFont="1" applyFill="1" applyBorder="1" applyAlignment="1" applyProtection="1">
      <alignment horizontal="right"/>
    </xf>
    <xf numFmtId="0" fontId="2" fillId="0" borderId="0" xfId="248" applyFill="1" applyAlignment="1" applyProtection="1">
      <alignment horizontal="left"/>
    </xf>
    <xf numFmtId="0" fontId="2" fillId="0" borderId="0" xfId="248" applyFill="1" applyProtection="1"/>
    <xf numFmtId="0" fontId="80" fillId="0" borderId="0" xfId="248" applyFont="1" applyFill="1" applyBorder="1" applyProtection="1"/>
    <xf numFmtId="173" fontId="2" fillId="0" borderId="0" xfId="86" applyNumberFormat="1" applyProtection="1"/>
    <xf numFmtId="173" fontId="2" fillId="0" borderId="0" xfId="86" applyNumberFormat="1" applyFill="1" applyProtection="1"/>
    <xf numFmtId="173" fontId="12" fillId="0" borderId="0" xfId="86" applyNumberFormat="1" applyFont="1" applyFill="1" applyProtection="1"/>
    <xf numFmtId="173" fontId="2" fillId="0" borderId="0" xfId="86" applyNumberFormat="1" applyFont="1" applyFill="1" applyProtection="1"/>
    <xf numFmtId="0" fontId="9" fillId="0" borderId="0" xfId="248" applyFont="1" applyFill="1" applyBorder="1" applyProtection="1"/>
    <xf numFmtId="38" fontId="12" fillId="0" borderId="17" xfId="0" applyNumberFormat="1" applyFont="1" applyFill="1" applyBorder="1" applyProtection="1"/>
    <xf numFmtId="37" fontId="12" fillId="0" borderId="17" xfId="0" applyNumberFormat="1" applyFont="1" applyFill="1" applyBorder="1" applyProtection="1"/>
    <xf numFmtId="0" fontId="152" fillId="0" borderId="0" xfId="207" applyFont="1" applyBorder="1" applyProtection="1"/>
    <xf numFmtId="38" fontId="12" fillId="0" borderId="0" xfId="0" applyNumberFormat="1" applyFont="1" applyFill="1" applyBorder="1" applyProtection="1"/>
    <xf numFmtId="0" fontId="32" fillId="0" borderId="0" xfId="248" applyFont="1" applyFill="1" applyAlignment="1" applyProtection="1">
      <alignment horizontal="left"/>
    </xf>
    <xf numFmtId="0" fontId="32" fillId="0" borderId="0" xfId="248" applyFont="1" applyFill="1" applyProtection="1"/>
    <xf numFmtId="0" fontId="96" fillId="0" borderId="0" xfId="248" applyFont="1" applyFill="1" applyAlignment="1" applyProtection="1">
      <alignment horizontal="center"/>
    </xf>
    <xf numFmtId="0" fontId="97" fillId="0" borderId="0" xfId="248" applyFont="1" applyFill="1" applyBorder="1" applyProtection="1"/>
    <xf numFmtId="37" fontId="0" fillId="0" borderId="0" xfId="0" applyNumberFormat="1" applyProtection="1"/>
    <xf numFmtId="37" fontId="8" fillId="30" borderId="0" xfId="0" applyNumberFormat="1" applyFont="1" applyFill="1" applyProtection="1">
      <protection locked="0"/>
    </xf>
    <xf numFmtId="0" fontId="17" fillId="0" borderId="0" xfId="0" applyFont="1" applyFill="1" applyAlignment="1" applyProtection="1">
      <alignment horizontal="center"/>
    </xf>
    <xf numFmtId="0" fontId="9" fillId="0" borderId="0" xfId="0" applyFont="1" applyFill="1" applyAlignment="1" applyProtection="1">
      <alignment horizontal="center"/>
    </xf>
    <xf numFmtId="0" fontId="0" fillId="0" borderId="0" xfId="0" applyFill="1" applyAlignment="1" applyProtection="1">
      <alignment horizontal="center"/>
    </xf>
    <xf numFmtId="0" fontId="2" fillId="0" borderId="0" xfId="0" applyFont="1" applyFill="1" applyProtection="1"/>
    <xf numFmtId="0" fontId="2" fillId="0" borderId="0" xfId="0" applyFont="1" applyAlignment="1" applyProtection="1">
      <alignment horizontal="center"/>
    </xf>
    <xf numFmtId="0" fontId="121" fillId="0" borderId="0" xfId="0" applyFont="1" applyAlignment="1" applyProtection="1">
      <alignment horizontal="center"/>
    </xf>
    <xf numFmtId="0" fontId="121" fillId="0" borderId="0" xfId="0" applyFont="1" applyAlignment="1" applyProtection="1">
      <alignment horizontal="left"/>
    </xf>
    <xf numFmtId="0" fontId="121" fillId="0" borderId="0" xfId="0" applyFont="1" applyProtection="1"/>
    <xf numFmtId="0" fontId="0" fillId="0" borderId="11" xfId="0" applyBorder="1" applyProtection="1"/>
    <xf numFmtId="43" fontId="0" fillId="0" borderId="0" xfId="0" applyNumberFormat="1" applyProtection="1"/>
    <xf numFmtId="174" fontId="0" fillId="0" borderId="0" xfId="86" applyNumberFormat="1" applyFont="1" applyFill="1" applyProtection="1"/>
    <xf numFmtId="43" fontId="0" fillId="0" borderId="13" xfId="0" applyNumberFormat="1" applyBorder="1" applyProtection="1"/>
    <xf numFmtId="172" fontId="109" fillId="0" borderId="0" xfId="255" applyFont="1" applyFill="1" applyAlignment="1" applyProtection="1"/>
    <xf numFmtId="0" fontId="120" fillId="0" borderId="0" xfId="0" applyFont="1" applyAlignment="1" applyProtection="1">
      <alignment horizontal="center"/>
    </xf>
    <xf numFmtId="174" fontId="12" fillId="0" borderId="0" xfId="86" applyNumberFormat="1" applyFont="1" applyFill="1" applyProtection="1"/>
    <xf numFmtId="174" fontId="0" fillId="0" borderId="0" xfId="0" applyNumberFormat="1" applyProtection="1"/>
    <xf numFmtId="43" fontId="8" fillId="30" borderId="0" xfId="0" applyNumberFormat="1" applyFont="1" applyFill="1" applyProtection="1">
      <protection locked="0"/>
    </xf>
    <xf numFmtId="0" fontId="3" fillId="0" borderId="0" xfId="0" applyFont="1" applyProtection="1"/>
    <xf numFmtId="0" fontId="3" fillId="0" borderId="0" xfId="0" applyFont="1" applyAlignment="1" applyProtection="1"/>
    <xf numFmtId="3" fontId="4" fillId="0" borderId="0" xfId="0" applyNumberFormat="1" applyFont="1" applyAlignment="1" applyProtection="1">
      <alignment horizontal="center"/>
    </xf>
    <xf numFmtId="0" fontId="3" fillId="0" borderId="0" xfId="260" applyFont="1" applyProtection="1"/>
    <xf numFmtId="0" fontId="3" fillId="0" borderId="0" xfId="260" applyFont="1" applyAlignment="1" applyProtection="1">
      <alignment horizontal="right"/>
    </xf>
    <xf numFmtId="0" fontId="10" fillId="0" borderId="0" xfId="260" applyFont="1" applyAlignment="1" applyProtection="1">
      <alignment horizontal="center"/>
    </xf>
    <xf numFmtId="0" fontId="26" fillId="0" borderId="0" xfId="0" applyFont="1" applyProtection="1"/>
    <xf numFmtId="0" fontId="5" fillId="0" borderId="0" xfId="260" applyFont="1" applyProtection="1"/>
    <xf numFmtId="0" fontId="82" fillId="0" borderId="0" xfId="260" applyFont="1" applyProtection="1"/>
    <xf numFmtId="0" fontId="26" fillId="0" borderId="0" xfId="0" applyFont="1" applyAlignment="1" applyProtection="1">
      <alignment horizontal="center"/>
    </xf>
    <xf numFmtId="0" fontId="10" fillId="0" borderId="0" xfId="260" applyFont="1" applyBorder="1" applyAlignment="1" applyProtection="1">
      <alignment horizontal="center"/>
    </xf>
    <xf numFmtId="0" fontId="3" fillId="0" borderId="0" xfId="0" applyFont="1" applyAlignment="1" applyProtection="1">
      <alignment horizontal="right"/>
    </xf>
    <xf numFmtId="0" fontId="6" fillId="0" borderId="0" xfId="260" applyFont="1" applyFill="1" applyProtection="1"/>
    <xf numFmtId="0" fontId="26" fillId="0" borderId="0" xfId="260" applyFont="1" applyAlignment="1" applyProtection="1">
      <alignment horizontal="center"/>
    </xf>
    <xf numFmtId="0" fontId="9" fillId="0" borderId="0" xfId="260" applyFont="1" applyFill="1" applyAlignment="1" applyProtection="1">
      <alignment horizontal="center"/>
    </xf>
    <xf numFmtId="0" fontId="9" fillId="0" borderId="0" xfId="260" applyFont="1" applyFill="1" applyProtection="1"/>
    <xf numFmtId="0" fontId="101" fillId="0" borderId="0" xfId="0" applyFont="1" applyProtection="1"/>
    <xf numFmtId="0" fontId="101" fillId="0" borderId="0" xfId="260" applyFont="1" applyProtection="1"/>
    <xf numFmtId="0" fontId="12" fillId="0" borderId="0" xfId="260" applyFont="1" applyProtection="1"/>
    <xf numFmtId="173" fontId="12" fillId="0" borderId="0" xfId="260" applyNumberFormat="1" applyFont="1" applyFill="1" applyProtection="1"/>
    <xf numFmtId="0" fontId="12" fillId="0" borderId="0" xfId="0" applyFont="1" applyAlignment="1" applyProtection="1">
      <alignment horizontal="center"/>
    </xf>
    <xf numFmtId="172" fontId="12" fillId="0" borderId="0" xfId="260" applyNumberFormat="1" applyFont="1" applyFill="1" applyAlignment="1" applyProtection="1">
      <alignment horizontal="center"/>
    </xf>
    <xf numFmtId="0" fontId="12" fillId="0" borderId="0" xfId="260" applyFont="1" applyFill="1" applyProtection="1"/>
    <xf numFmtId="0" fontId="9" fillId="0" borderId="0" xfId="260" applyFont="1" applyProtection="1"/>
    <xf numFmtId="43" fontId="12" fillId="0" borderId="0" xfId="112" applyFont="1" applyFill="1" applyProtection="1"/>
    <xf numFmtId="0" fontId="94" fillId="0" borderId="0" xfId="260" applyFont="1" applyProtection="1"/>
    <xf numFmtId="185" fontId="12" fillId="0" borderId="0" xfId="0" applyNumberFormat="1" applyFont="1" applyProtection="1"/>
    <xf numFmtId="173" fontId="12" fillId="0" borderId="0" xfId="260" applyNumberFormat="1" applyFont="1" applyProtection="1"/>
    <xf numFmtId="173" fontId="12" fillId="0" borderId="13" xfId="0" applyNumberFormat="1" applyFont="1" applyBorder="1" applyProtection="1"/>
    <xf numFmtId="173" fontId="12" fillId="0" borderId="0" xfId="260" applyNumberFormat="1" applyFont="1" applyBorder="1" applyProtection="1"/>
    <xf numFmtId="0" fontId="94" fillId="0" borderId="0" xfId="260" applyFont="1" applyFill="1" applyProtection="1"/>
    <xf numFmtId="173" fontId="12" fillId="0" borderId="13" xfId="260" applyNumberFormat="1" applyFont="1" applyBorder="1" applyProtection="1"/>
    <xf numFmtId="0" fontId="26" fillId="0" borderId="0" xfId="260" applyFont="1" applyProtection="1"/>
    <xf numFmtId="43" fontId="5" fillId="0" borderId="0" xfId="112" applyFont="1" applyFill="1" applyProtection="1"/>
    <xf numFmtId="173" fontId="5" fillId="0" borderId="0" xfId="260" applyNumberFormat="1" applyFont="1" applyProtection="1"/>
    <xf numFmtId="173" fontId="5" fillId="0" borderId="0" xfId="260" applyNumberFormat="1" applyFont="1" applyBorder="1" applyProtection="1"/>
    <xf numFmtId="0" fontId="9" fillId="0" borderId="0" xfId="0" applyFont="1" applyFill="1" applyBorder="1" applyAlignment="1" applyProtection="1">
      <alignment horizontal="center"/>
    </xf>
    <xf numFmtId="0" fontId="101" fillId="0" borderId="0" xfId="0" applyFont="1" applyFill="1" applyProtection="1"/>
    <xf numFmtId="0" fontId="6" fillId="0" borderId="0" xfId="0" applyFont="1" applyFill="1" applyBorder="1" applyAlignment="1" applyProtection="1">
      <alignment horizontal="center"/>
    </xf>
    <xf numFmtId="0" fontId="3" fillId="0" borderId="0" xfId="0" applyFont="1" applyFill="1" applyProtection="1"/>
    <xf numFmtId="173" fontId="8" fillId="30" borderId="0" xfId="112" applyNumberFormat="1" applyFont="1" applyFill="1" applyProtection="1">
      <protection locked="0"/>
    </xf>
    <xf numFmtId="41" fontId="19" fillId="30" borderId="0" xfId="248" applyNumberFormat="1" applyFont="1" applyFill="1" applyBorder="1" applyProtection="1">
      <protection locked="0"/>
    </xf>
    <xf numFmtId="3" fontId="19" fillId="30" borderId="0" xfId="0" applyNumberFormat="1" applyFont="1" applyFill="1" applyAlignment="1" applyProtection="1">
      <protection locked="0"/>
    </xf>
    <xf numFmtId="41" fontId="27" fillId="30" borderId="0" xfId="248" applyNumberFormat="1" applyFont="1" applyFill="1" applyBorder="1" applyProtection="1">
      <protection locked="0"/>
    </xf>
    <xf numFmtId="0" fontId="4" fillId="0" borderId="0" xfId="0" applyFont="1" applyProtection="1"/>
    <xf numFmtId="0" fontId="18" fillId="0" borderId="0" xfId="0" applyFont="1" applyProtection="1"/>
    <xf numFmtId="0" fontId="18" fillId="0" borderId="0" xfId="0" applyFont="1" applyAlignment="1" applyProtection="1">
      <alignment horizontal="right"/>
    </xf>
    <xf numFmtId="0" fontId="5" fillId="0" borderId="0" xfId="0" applyFont="1" applyAlignment="1" applyProtection="1">
      <alignment horizontal="center" wrapText="1"/>
    </xf>
    <xf numFmtId="0" fontId="5" fillId="0" borderId="0" xfId="0" applyFont="1" applyFill="1" applyAlignment="1" applyProtection="1"/>
    <xf numFmtId="37" fontId="5" fillId="0" borderId="0" xfId="0" applyNumberFormat="1" applyFont="1" applyFill="1" applyAlignment="1" applyProtection="1"/>
    <xf numFmtId="37" fontId="5" fillId="0" borderId="0" xfId="0" applyNumberFormat="1" applyFont="1" applyFill="1" applyAlignment="1" applyProtection="1">
      <alignment horizontal="center"/>
    </xf>
    <xf numFmtId="0" fontId="15" fillId="0" borderId="0" xfId="0" applyFont="1" applyFill="1" applyProtection="1"/>
    <xf numFmtId="0" fontId="0" fillId="0" borderId="0" xfId="0" applyFont="1" applyFill="1" applyAlignment="1" applyProtection="1">
      <alignment horizontal="center"/>
    </xf>
    <xf numFmtId="10" fontId="5" fillId="0" borderId="0" xfId="0" applyNumberFormat="1" applyFont="1" applyFill="1" applyBorder="1" applyAlignment="1" applyProtection="1"/>
    <xf numFmtId="176" fontId="5" fillId="0" borderId="0" xfId="0" applyNumberFormat="1" applyFont="1" applyFill="1" applyProtection="1"/>
    <xf numFmtId="10" fontId="5" fillId="0" borderId="14" xfId="0" applyNumberFormat="1" applyFont="1" applyFill="1" applyBorder="1" applyAlignment="1" applyProtection="1"/>
    <xf numFmtId="10" fontId="19" fillId="30" borderId="0" xfId="0" applyNumberFormat="1" applyFont="1" applyFill="1" applyBorder="1" applyAlignment="1" applyProtection="1">
      <protection locked="0"/>
    </xf>
    <xf numFmtId="10" fontId="19" fillId="30" borderId="11" xfId="0" applyNumberFormat="1" applyFont="1" applyFill="1" applyBorder="1" applyAlignment="1" applyProtection="1">
      <protection locked="0"/>
    </xf>
    <xf numFmtId="0" fontId="5" fillId="30" borderId="0" xfId="0" applyFont="1" applyFill="1" applyAlignment="1" applyProtection="1">
      <protection locked="0"/>
    </xf>
    <xf numFmtId="0" fontId="12" fillId="0" borderId="0" xfId="256" applyFont="1" applyProtection="1"/>
    <xf numFmtId="0" fontId="5" fillId="0" borderId="0" xfId="256" applyFont="1" applyProtection="1"/>
    <xf numFmtId="0" fontId="18" fillId="0" borderId="0" xfId="256" applyNumberFormat="1" applyFont="1" applyAlignment="1" applyProtection="1">
      <alignment horizontal="center"/>
    </xf>
    <xf numFmtId="0" fontId="18" fillId="0" borderId="0" xfId="256" applyNumberFormat="1" applyFont="1" applyProtection="1"/>
    <xf numFmtId="0" fontId="6" fillId="0" borderId="0" xfId="248" applyFont="1" applyFill="1" applyAlignment="1" applyProtection="1">
      <alignment horizontal="center"/>
    </xf>
    <xf numFmtId="0" fontId="12" fillId="0" borderId="0" xfId="256" applyNumberFormat="1" applyFont="1" applyProtection="1"/>
    <xf numFmtId="0" fontId="4" fillId="0" borderId="0" xfId="256" applyNumberFormat="1" applyFont="1" applyAlignment="1" applyProtection="1">
      <alignment horizontal="center"/>
    </xf>
    <xf numFmtId="0" fontId="4" fillId="0" borderId="0" xfId="256" applyNumberFormat="1" applyFont="1" applyProtection="1"/>
    <xf numFmtId="185" fontId="4" fillId="0" borderId="0" xfId="256" applyNumberFormat="1" applyFont="1" applyAlignment="1" applyProtection="1">
      <alignment horizontal="center"/>
    </xf>
    <xf numFmtId="0" fontId="74" fillId="0" borderId="0" xfId="256" applyFont="1" applyProtection="1"/>
    <xf numFmtId="0" fontId="9" fillId="0" borderId="0" xfId="256" applyFont="1" applyProtection="1"/>
    <xf numFmtId="0" fontId="4" fillId="0" borderId="11" xfId="256" applyNumberFormat="1" applyFont="1" applyBorder="1" applyAlignment="1" applyProtection="1">
      <alignment horizontal="center"/>
    </xf>
    <xf numFmtId="185" fontId="4" fillId="0" borderId="11" xfId="256" applyNumberFormat="1" applyFont="1" applyBorder="1" applyAlignment="1" applyProtection="1">
      <alignment horizontal="center"/>
    </xf>
    <xf numFmtId="0" fontId="74" fillId="0" borderId="11" xfId="256" applyFont="1" applyBorder="1" applyAlignment="1" applyProtection="1">
      <alignment horizontal="center"/>
    </xf>
    <xf numFmtId="0" fontId="9" fillId="0" borderId="0" xfId="256" applyFont="1" applyAlignment="1" applyProtection="1">
      <alignment horizontal="center"/>
    </xf>
    <xf numFmtId="0" fontId="18" fillId="0" borderId="0" xfId="256" applyNumberFormat="1" applyFont="1" applyBorder="1" applyAlignment="1" applyProtection="1">
      <alignment horizontal="center"/>
    </xf>
    <xf numFmtId="185" fontId="18" fillId="0" borderId="0" xfId="256" applyNumberFormat="1" applyFont="1" applyAlignment="1" applyProtection="1">
      <alignment horizontal="center"/>
    </xf>
    <xf numFmtId="0" fontId="71" fillId="0" borderId="0" xfId="256" applyFont="1" applyProtection="1"/>
    <xf numFmtId="185" fontId="72" fillId="0" borderId="0" xfId="256" applyNumberFormat="1" applyFont="1" applyProtection="1"/>
    <xf numFmtId="0" fontId="18" fillId="0" borderId="0" xfId="256" applyFont="1" applyProtection="1"/>
    <xf numFmtId="185" fontId="18" fillId="0" borderId="0" xfId="256" applyNumberFormat="1" applyFont="1" applyProtection="1"/>
    <xf numFmtId="0" fontId="73" fillId="0" borderId="0" xfId="256" applyFont="1" applyProtection="1"/>
    <xf numFmtId="173" fontId="71" fillId="0" borderId="0" xfId="256" applyNumberFormat="1" applyFont="1" applyBorder="1" applyProtection="1"/>
    <xf numFmtId="173" fontId="71" fillId="0" borderId="0" xfId="256" applyNumberFormat="1" applyFont="1" applyProtection="1"/>
    <xf numFmtId="173" fontId="71" fillId="0" borderId="0" xfId="256" applyNumberFormat="1" applyFont="1" applyFill="1" applyBorder="1" applyProtection="1"/>
    <xf numFmtId="0" fontId="71" fillId="0" borderId="0" xfId="256" applyFont="1" applyFill="1" applyBorder="1" applyProtection="1"/>
    <xf numFmtId="173" fontId="89" fillId="0" borderId="0" xfId="256" applyNumberFormat="1" applyFont="1" applyFill="1" applyBorder="1" applyProtection="1"/>
    <xf numFmtId="173" fontId="5" fillId="0" borderId="0" xfId="256" applyNumberFormat="1" applyFont="1" applyProtection="1"/>
    <xf numFmtId="173" fontId="76" fillId="0" borderId="0" xfId="256" applyNumberFormat="1" applyFont="1" applyProtection="1"/>
    <xf numFmtId="185" fontId="5" fillId="0" borderId="0" xfId="256" applyNumberFormat="1" applyFont="1" applyProtection="1"/>
    <xf numFmtId="173" fontId="76" fillId="0" borderId="0" xfId="86" applyNumberFormat="1" applyFont="1" applyProtection="1"/>
    <xf numFmtId="0" fontId="116" fillId="0" borderId="0" xfId="255" applyNumberFormat="1" applyFont="1" applyBorder="1" applyAlignment="1" applyProtection="1"/>
    <xf numFmtId="0" fontId="99" fillId="0" borderId="0" xfId="256" applyFont="1" applyFill="1" applyBorder="1" applyProtection="1"/>
    <xf numFmtId="0" fontId="99" fillId="0" borderId="0" xfId="256" applyFont="1" applyProtection="1"/>
    <xf numFmtId="173" fontId="117" fillId="0" borderId="0" xfId="256" applyNumberFormat="1" applyFont="1" applyProtection="1"/>
    <xf numFmtId="185" fontId="118" fillId="0" borderId="0" xfId="256" applyNumberFormat="1" applyFont="1" applyProtection="1"/>
    <xf numFmtId="173" fontId="117" fillId="0" borderId="0" xfId="86" applyNumberFormat="1" applyFont="1" applyProtection="1"/>
    <xf numFmtId="173" fontId="99" fillId="0" borderId="0" xfId="256" applyNumberFormat="1" applyFont="1" applyProtection="1"/>
    <xf numFmtId="0" fontId="71" fillId="0" borderId="0" xfId="256" applyFont="1" applyFill="1" applyProtection="1"/>
    <xf numFmtId="0" fontId="75" fillId="0" borderId="0" xfId="253" applyFont="1" applyFill="1" applyAlignment="1" applyProtection="1">
      <alignment horizontal="center"/>
    </xf>
    <xf numFmtId="0" fontId="75" fillId="0" borderId="0" xfId="253" applyFont="1" applyFill="1" applyAlignment="1" applyProtection="1">
      <alignment horizontal="left" indent="2"/>
    </xf>
    <xf numFmtId="39" fontId="75" fillId="0" borderId="0" xfId="253" applyNumberFormat="1" applyFont="1" applyFill="1" applyProtection="1"/>
    <xf numFmtId="173" fontId="71" fillId="0" borderId="0" xfId="256" applyNumberFormat="1" applyFont="1" applyFill="1" applyProtection="1"/>
    <xf numFmtId="43" fontId="71" fillId="0" borderId="0" xfId="86" applyFont="1" applyProtection="1"/>
    <xf numFmtId="43" fontId="76" fillId="0" borderId="0" xfId="86" applyFont="1" applyProtection="1"/>
    <xf numFmtId="173" fontId="5" fillId="0" borderId="0" xfId="86" applyNumberFormat="1" applyFont="1" applyProtection="1"/>
    <xf numFmtId="0" fontId="18" fillId="0" borderId="0" xfId="253" applyFont="1" applyFill="1" applyAlignment="1" applyProtection="1">
      <alignment horizontal="center"/>
    </xf>
    <xf numFmtId="173" fontId="71" fillId="0" borderId="14" xfId="86" applyNumberFormat="1" applyFont="1" applyBorder="1" applyProtection="1"/>
    <xf numFmtId="0" fontId="74" fillId="0" borderId="0" xfId="256" applyFont="1" applyAlignment="1" applyProtection="1">
      <alignment horizontal="center" wrapText="1"/>
    </xf>
    <xf numFmtId="0" fontId="79" fillId="0" borderId="0" xfId="256" applyFont="1" applyAlignment="1" applyProtection="1">
      <alignment horizontal="center"/>
    </xf>
    <xf numFmtId="0" fontId="18" fillId="0" borderId="0" xfId="256" applyNumberFormat="1" applyFont="1" applyFill="1" applyAlignment="1" applyProtection="1">
      <alignment horizontal="center"/>
    </xf>
    <xf numFmtId="0" fontId="12" fillId="0" borderId="0" xfId="256" applyNumberFormat="1" applyFont="1" applyFill="1" applyProtection="1"/>
    <xf numFmtId="0" fontId="99" fillId="0" borderId="0" xfId="256" applyFont="1" applyFill="1" applyProtection="1"/>
    <xf numFmtId="41" fontId="99" fillId="0" borderId="0" xfId="256" applyNumberFormat="1" applyFont="1" applyFill="1" applyProtection="1"/>
    <xf numFmtId="41" fontId="99" fillId="0" borderId="0" xfId="256" applyNumberFormat="1" applyFont="1" applyFill="1" applyBorder="1" applyProtection="1"/>
    <xf numFmtId="41" fontId="71" fillId="0" borderId="0" xfId="256" applyNumberFormat="1" applyFont="1" applyFill="1" applyProtection="1"/>
    <xf numFmtId="10" fontId="71" fillId="0" borderId="0" xfId="267" applyNumberFormat="1" applyFont="1" applyFill="1" applyProtection="1"/>
    <xf numFmtId="41" fontId="71" fillId="0" borderId="0" xfId="256" applyNumberFormat="1" applyFont="1" applyFill="1" applyBorder="1" applyProtection="1"/>
    <xf numFmtId="164" fontId="71" fillId="0" borderId="0" xfId="267" applyNumberFormat="1" applyFont="1" applyFill="1" applyProtection="1"/>
    <xf numFmtId="187" fontId="12" fillId="0" borderId="0" xfId="267" applyNumberFormat="1" applyFont="1" applyFill="1" applyProtection="1"/>
    <xf numFmtId="41" fontId="84" fillId="28" borderId="0" xfId="256" applyNumberFormat="1" applyFont="1" applyFill="1" applyProtection="1"/>
    <xf numFmtId="41" fontId="84" fillId="28" borderId="0" xfId="256" applyNumberFormat="1" applyFont="1" applyFill="1" applyBorder="1" applyProtection="1"/>
    <xf numFmtId="10" fontId="71" fillId="0" borderId="11" xfId="267" applyNumberFormat="1" applyFont="1" applyFill="1" applyBorder="1" applyProtection="1"/>
    <xf numFmtId="173" fontId="71" fillId="0" borderId="0" xfId="86" applyNumberFormat="1" applyFont="1" applyFill="1" applyProtection="1"/>
    <xf numFmtId="10" fontId="71" fillId="0" borderId="0" xfId="267" applyNumberFormat="1" applyFont="1" applyFill="1" applyBorder="1" applyProtection="1"/>
    <xf numFmtId="173" fontId="71" fillId="0" borderId="0" xfId="86" applyNumberFormat="1" applyFont="1" applyFill="1" applyBorder="1" applyProtection="1"/>
    <xf numFmtId="0" fontId="12" fillId="0" borderId="0" xfId="256" applyNumberFormat="1" applyFont="1" applyAlignment="1" applyProtection="1">
      <alignment horizontal="center"/>
    </xf>
    <xf numFmtId="185" fontId="12" fillId="0" borderId="0" xfId="256" applyNumberFormat="1" applyFont="1" applyProtection="1"/>
    <xf numFmtId="173" fontId="12" fillId="0" borderId="0" xfId="256" applyNumberFormat="1" applyFont="1" applyProtection="1"/>
    <xf numFmtId="173" fontId="71" fillId="0" borderId="18" xfId="86" applyNumberFormat="1" applyFont="1" applyFill="1" applyBorder="1" applyProtection="1"/>
    <xf numFmtId="0" fontId="74" fillId="30" borderId="0" xfId="256" applyFont="1" applyFill="1" applyProtection="1">
      <protection locked="0"/>
    </xf>
    <xf numFmtId="0" fontId="99" fillId="30" borderId="0" xfId="256" applyFont="1" applyFill="1" applyProtection="1">
      <protection locked="0"/>
    </xf>
    <xf numFmtId="0" fontId="71" fillId="30" borderId="0" xfId="256" applyFont="1" applyFill="1" applyProtection="1">
      <protection locked="0"/>
    </xf>
    <xf numFmtId="10" fontId="78" fillId="30" borderId="11" xfId="267" applyNumberFormat="1" applyFont="1" applyFill="1" applyBorder="1" applyProtection="1">
      <protection locked="0"/>
    </xf>
    <xf numFmtId="173" fontId="78" fillId="30" borderId="0" xfId="256" applyNumberFormat="1" applyFont="1" applyFill="1" applyBorder="1" applyProtection="1">
      <protection locked="0"/>
    </xf>
    <xf numFmtId="0" fontId="11" fillId="0" borderId="0" xfId="0" applyFont="1" applyFill="1" applyProtection="1"/>
    <xf numFmtId="0" fontId="18" fillId="0" borderId="0" xfId="0" applyFont="1" applyFill="1" applyAlignment="1" applyProtection="1">
      <alignment horizontal="right"/>
    </xf>
    <xf numFmtId="0" fontId="18" fillId="0" borderId="0" xfId="0" applyFont="1" applyFill="1" applyAlignment="1" applyProtection="1">
      <alignment horizontal="left"/>
    </xf>
    <xf numFmtId="0" fontId="18" fillId="0" borderId="0" xfId="0" applyFont="1" applyFill="1" applyBorder="1" applyAlignment="1" applyProtection="1">
      <alignment horizontal="right"/>
    </xf>
    <xf numFmtId="0" fontId="4" fillId="0" borderId="0" xfId="0" applyFont="1" applyFill="1" applyProtection="1"/>
    <xf numFmtId="0" fontId="66" fillId="0" borderId="0" xfId="0" applyFont="1" applyFill="1" applyProtection="1"/>
    <xf numFmtId="0" fontId="0" fillId="0" borderId="0" xfId="0" applyAlignment="1" applyProtection="1">
      <alignment wrapText="1"/>
    </xf>
    <xf numFmtId="0" fontId="6" fillId="0" borderId="0" xfId="0" applyFont="1" applyAlignment="1" applyProtection="1">
      <alignment horizontal="left"/>
    </xf>
    <xf numFmtId="0" fontId="12" fillId="0" borderId="0" xfId="255" applyNumberFormat="1" applyFont="1" applyBorder="1" applyAlignment="1" applyProtection="1"/>
    <xf numFmtId="3" fontId="12" fillId="0" borderId="0" xfId="255" applyNumberFormat="1" applyFont="1" applyAlignment="1" applyProtection="1"/>
    <xf numFmtId="10" fontId="2" fillId="0" borderId="0" xfId="267" applyNumberFormat="1" applyAlignment="1" applyProtection="1">
      <alignment horizontal="right"/>
    </xf>
    <xf numFmtId="172" fontId="12" fillId="0" borderId="0" xfId="255" applyFont="1" applyAlignment="1" applyProtection="1"/>
    <xf numFmtId="172" fontId="12" fillId="0" borderId="0" xfId="255" applyFont="1" applyBorder="1" applyAlignment="1" applyProtection="1"/>
    <xf numFmtId="3" fontId="12" fillId="0" borderId="0" xfId="255" applyNumberFormat="1" applyFont="1" applyFill="1" applyAlignment="1" applyProtection="1"/>
    <xf numFmtId="10" fontId="12" fillId="0" borderId="0" xfId="267" applyNumberFormat="1" applyFont="1" applyFill="1" applyAlignment="1" applyProtection="1">
      <alignment horizontal="right"/>
    </xf>
    <xf numFmtId="3" fontId="9" fillId="0" borderId="0" xfId="255" applyNumberFormat="1" applyFont="1" applyAlignment="1" applyProtection="1"/>
    <xf numFmtId="10" fontId="12" fillId="0" borderId="0" xfId="255" applyNumberFormat="1" applyFont="1" applyFill="1" applyAlignment="1" applyProtection="1">
      <alignment horizontal="right"/>
    </xf>
    <xf numFmtId="3" fontId="13" fillId="0" borderId="0" xfId="255" applyNumberFormat="1" applyFont="1" applyAlignment="1" applyProtection="1">
      <alignment horizontal="center"/>
    </xf>
    <xf numFmtId="10" fontId="13" fillId="0" borderId="0" xfId="255" applyNumberFormat="1" applyFont="1" applyFill="1" applyAlignment="1" applyProtection="1">
      <alignment horizontal="center"/>
    </xf>
    <xf numFmtId="0" fontId="12" fillId="0" borderId="0" xfId="255" applyNumberFormat="1" applyFont="1" applyFill="1" applyBorder="1" applyAlignment="1" applyProtection="1">
      <alignment horizontal="right"/>
    </xf>
    <xf numFmtId="10" fontId="0" fillId="0" borderId="0" xfId="0" applyNumberFormat="1" applyFill="1" applyAlignment="1" applyProtection="1">
      <alignment horizontal="center"/>
    </xf>
    <xf numFmtId="10" fontId="0" fillId="0" borderId="0" xfId="0" applyNumberFormat="1" applyAlignment="1" applyProtection="1">
      <alignment horizontal="center"/>
    </xf>
    <xf numFmtId="164" fontId="12" fillId="0" borderId="0" xfId="267" applyNumberFormat="1" applyFont="1" applyAlignment="1" applyProtection="1"/>
    <xf numFmtId="166" fontId="12" fillId="0" borderId="0" xfId="255" applyNumberFormat="1" applyFont="1" applyAlignment="1" applyProtection="1">
      <alignment horizontal="center"/>
    </xf>
    <xf numFmtId="166" fontId="12" fillId="0" borderId="0" xfId="255" applyNumberFormat="1" applyFont="1" applyBorder="1" applyAlignment="1" applyProtection="1">
      <alignment horizontal="center"/>
    </xf>
    <xf numFmtId="41" fontId="12" fillId="0" borderId="0" xfId="255" applyNumberFormat="1" applyFont="1" applyAlignment="1" applyProtection="1"/>
    <xf numFmtId="41" fontId="12" fillId="0" borderId="0" xfId="255" applyNumberFormat="1" applyFont="1" applyAlignment="1" applyProtection="1">
      <alignment horizontal="center"/>
    </xf>
    <xf numFmtId="41" fontId="12" fillId="0" borderId="0" xfId="255" applyNumberFormat="1" applyFont="1" applyBorder="1" applyAlignment="1" applyProtection="1">
      <alignment horizontal="center"/>
    </xf>
    <xf numFmtId="0" fontId="12" fillId="0" borderId="0" xfId="255" applyNumberFormat="1" applyFont="1" applyBorder="1" applyAlignment="1" applyProtection="1">
      <alignment horizontal="right"/>
    </xf>
    <xf numFmtId="164" fontId="13" fillId="0" borderId="0" xfId="267" applyNumberFormat="1" applyFont="1" applyAlignment="1" applyProtection="1"/>
    <xf numFmtId="3" fontId="12" fillId="0" borderId="0" xfId="255" applyNumberFormat="1" applyFont="1" applyAlignment="1" applyProtection="1">
      <alignment horizontal="right"/>
    </xf>
    <xf numFmtId="172" fontId="2" fillId="0" borderId="19" xfId="255" applyFont="1" applyBorder="1" applyAlignment="1" applyProtection="1"/>
    <xf numFmtId="0" fontId="2" fillId="0" borderId="0" xfId="255" applyNumberFormat="1" applyFont="1" applyBorder="1" applyAlignment="1" applyProtection="1">
      <alignment horizontal="center"/>
    </xf>
    <xf numFmtId="172" fontId="2" fillId="0" borderId="0" xfId="255" applyFont="1" applyBorder="1" applyAlignment="1" applyProtection="1"/>
    <xf numFmtId="3" fontId="2" fillId="0" borderId="20" xfId="255" applyNumberFormat="1" applyFont="1" applyBorder="1" applyAlignment="1" applyProtection="1"/>
    <xf numFmtId="10" fontId="12" fillId="0" borderId="0" xfId="255" applyNumberFormat="1" applyFont="1" applyFill="1" applyAlignment="1" applyProtection="1">
      <alignment horizontal="left"/>
    </xf>
    <xf numFmtId="41" fontId="12" fillId="0" borderId="0" xfId="255" applyNumberFormat="1" applyFont="1" applyBorder="1" applyAlignment="1" applyProtection="1"/>
    <xf numFmtId="0" fontId="2" fillId="0" borderId="19" xfId="0" applyFont="1" applyBorder="1" applyProtection="1"/>
    <xf numFmtId="0" fontId="2" fillId="0" borderId="0" xfId="0" applyFont="1" applyBorder="1" applyProtection="1"/>
    <xf numFmtId="0" fontId="2" fillId="0" borderId="20" xfId="0" applyFont="1" applyBorder="1" applyProtection="1"/>
    <xf numFmtId="41" fontId="12" fillId="0" borderId="0" xfId="255" applyNumberFormat="1" applyFont="1" applyFill="1" applyAlignment="1" applyProtection="1"/>
    <xf numFmtId="166" fontId="2" fillId="0" borderId="21" xfId="255" applyNumberFormat="1" applyFont="1" applyBorder="1" applyAlignment="1" applyProtection="1">
      <alignment horizontal="center"/>
    </xf>
    <xf numFmtId="0" fontId="2" fillId="0" borderId="6" xfId="255" applyNumberFormat="1" applyFont="1" applyBorder="1" applyAlignment="1" applyProtection="1">
      <alignment horizontal="center"/>
    </xf>
    <xf numFmtId="174" fontId="2" fillId="0" borderId="22" xfId="0" applyNumberFormat="1" applyFont="1" applyBorder="1" applyProtection="1"/>
    <xf numFmtId="41" fontId="2" fillId="0" borderId="0" xfId="255" applyNumberFormat="1" applyFont="1" applyBorder="1" applyAlignment="1" applyProtection="1"/>
    <xf numFmtId="173" fontId="2" fillId="0" borderId="0" xfId="255" applyNumberFormat="1" applyFont="1" applyBorder="1" applyAlignment="1" applyProtection="1">
      <alignment horizontal="center"/>
    </xf>
    <xf numFmtId="41" fontId="12" fillId="0" borderId="0" xfId="255" applyNumberFormat="1" applyFont="1" applyFill="1" applyAlignment="1" applyProtection="1">
      <alignment horizontal="left"/>
    </xf>
    <xf numFmtId="41" fontId="2" fillId="0" borderId="0" xfId="255" applyNumberFormat="1" applyFont="1" applyFill="1" applyBorder="1" applyAlignment="1" applyProtection="1">
      <alignment horizontal="right"/>
    </xf>
    <xf numFmtId="167" fontId="12" fillId="0" borderId="0" xfId="255" applyNumberFormat="1" applyFont="1" applyAlignment="1" applyProtection="1"/>
    <xf numFmtId="164" fontId="12" fillId="0" borderId="0" xfId="255" applyNumberFormat="1" applyFont="1" applyFill="1" applyBorder="1" applyAlignment="1" applyProtection="1">
      <alignment horizontal="left"/>
    </xf>
    <xf numFmtId="164" fontId="12" fillId="0" borderId="0" xfId="255" applyNumberFormat="1" applyFont="1" applyBorder="1" applyAlignment="1" applyProtection="1">
      <alignment horizontal="left"/>
    </xf>
    <xf numFmtId="3" fontId="12" fillId="0" borderId="0" xfId="255" applyNumberFormat="1" applyFont="1" applyAlignment="1" applyProtection="1">
      <alignment vertical="center" wrapText="1"/>
    </xf>
    <xf numFmtId="41" fontId="12" fillId="0" borderId="0" xfId="255" applyNumberFormat="1" applyFont="1" applyBorder="1" applyAlignment="1" applyProtection="1">
      <alignment vertical="center"/>
    </xf>
    <xf numFmtId="41" fontId="12" fillId="0" borderId="0" xfId="255" applyNumberFormat="1" applyFont="1" applyBorder="1" applyAlignment="1" applyProtection="1">
      <alignment horizontal="center" vertical="center"/>
    </xf>
    <xf numFmtId="41" fontId="12" fillId="0" borderId="0" xfId="255" applyNumberFormat="1" applyFont="1" applyAlignment="1" applyProtection="1">
      <alignment horizontal="right"/>
    </xf>
    <xf numFmtId="10" fontId="12" fillId="0" borderId="0" xfId="0" applyNumberFormat="1" applyFont="1" applyProtection="1"/>
    <xf numFmtId="173" fontId="12" fillId="0" borderId="0" xfId="86" applyNumberFormat="1" applyFont="1" applyProtection="1"/>
    <xf numFmtId="41" fontId="12" fillId="0" borderId="0" xfId="0" applyNumberFormat="1" applyFont="1" applyProtection="1"/>
    <xf numFmtId="41" fontId="12" fillId="0" borderId="0" xfId="255" applyNumberFormat="1" applyFont="1" applyFill="1" applyBorder="1" applyAlignment="1" applyProtection="1"/>
    <xf numFmtId="41" fontId="12" fillId="0" borderId="6" xfId="255" applyNumberFormat="1" applyFont="1" applyFill="1" applyBorder="1" applyAlignment="1" applyProtection="1"/>
    <xf numFmtId="0" fontId="12" fillId="0" borderId="0" xfId="255" applyNumberFormat="1" applyFont="1" applyFill="1" applyBorder="1" applyAlignment="1" applyProtection="1"/>
    <xf numFmtId="3" fontId="12" fillId="0" borderId="0" xfId="255" applyNumberFormat="1" applyFont="1" applyFill="1" applyBorder="1" applyAlignment="1" applyProtection="1"/>
    <xf numFmtId="0" fontId="12" fillId="32" borderId="0" xfId="255" applyNumberFormat="1" applyFont="1" applyFill="1" applyBorder="1" applyAlignment="1" applyProtection="1"/>
    <xf numFmtId="41" fontId="12" fillId="0" borderId="0" xfId="255" applyNumberFormat="1" applyFont="1" applyFill="1" applyBorder="1" applyAlignment="1" applyProtection="1">
      <alignment horizontal="center"/>
    </xf>
    <xf numFmtId="0" fontId="12" fillId="0" borderId="0" xfId="255" applyNumberFormat="1" applyFont="1" applyFill="1" applyBorder="1" applyProtection="1"/>
    <xf numFmtId="41" fontId="13" fillId="0" borderId="0" xfId="255" applyNumberFormat="1" applyFont="1" applyFill="1" applyBorder="1" applyAlignment="1" applyProtection="1"/>
    <xf numFmtId="3" fontId="12" fillId="0" borderId="0" xfId="255" applyNumberFormat="1" applyFont="1" applyFill="1" applyBorder="1" applyAlignment="1" applyProtection="1">
      <alignment horizontal="center"/>
    </xf>
    <xf numFmtId="0" fontId="12" fillId="0" borderId="0" xfId="255" applyNumberFormat="1" applyFont="1" applyFill="1" applyBorder="1" applyAlignment="1" applyProtection="1">
      <alignment horizontal="center"/>
    </xf>
    <xf numFmtId="10" fontId="12" fillId="0" borderId="0" xfId="255" applyNumberFormat="1" applyFont="1" applyFill="1" applyBorder="1" applyAlignment="1" applyProtection="1"/>
    <xf numFmtId="169" fontId="12" fillId="0" borderId="0" xfId="255" applyNumberFormat="1" applyFont="1" applyFill="1" applyBorder="1" applyAlignment="1" applyProtection="1"/>
    <xf numFmtId="172" fontId="12" fillId="0" borderId="0" xfId="255" applyFont="1" applyFill="1" applyBorder="1" applyAlignment="1" applyProtection="1"/>
    <xf numFmtId="169" fontId="9" fillId="0" borderId="0" xfId="255" applyNumberFormat="1" applyFont="1" applyFill="1" applyBorder="1" applyAlignment="1" applyProtection="1"/>
    <xf numFmtId="0" fontId="12" fillId="0" borderId="0" xfId="0" applyFont="1" applyFill="1" applyBorder="1" applyAlignment="1" applyProtection="1">
      <alignment horizontal="center"/>
    </xf>
    <xf numFmtId="0" fontId="12" fillId="0" borderId="0" xfId="0" applyFont="1" applyFill="1" applyBorder="1" applyProtection="1"/>
    <xf numFmtId="41" fontId="12" fillId="0" borderId="0" xfId="0" applyNumberFormat="1" applyFont="1" applyFill="1" applyBorder="1" applyProtection="1"/>
    <xf numFmtId="41" fontId="13" fillId="0" borderId="0" xfId="0" applyNumberFormat="1" applyFont="1" applyProtection="1"/>
    <xf numFmtId="4" fontId="12" fillId="0" borderId="0" xfId="255" applyNumberFormat="1" applyFont="1" applyFill="1" applyBorder="1" applyAlignment="1" applyProtection="1"/>
    <xf numFmtId="10" fontId="13" fillId="0" borderId="0" xfId="0" applyNumberFormat="1" applyFont="1" applyProtection="1"/>
    <xf numFmtId="173" fontId="12" fillId="0" borderId="0" xfId="86" applyNumberFormat="1" applyFont="1" applyBorder="1" applyProtection="1"/>
    <xf numFmtId="43" fontId="12" fillId="0" borderId="0" xfId="86" applyFont="1" applyProtection="1"/>
    <xf numFmtId="43" fontId="12" fillId="0" borderId="0" xfId="86" applyFont="1" applyFill="1" applyProtection="1"/>
    <xf numFmtId="173" fontId="12" fillId="0" borderId="0" xfId="0" applyNumberFormat="1" applyFont="1" applyFill="1" applyProtection="1"/>
    <xf numFmtId="173" fontId="12" fillId="0" borderId="0" xfId="0" applyNumberFormat="1" applyFont="1" applyProtection="1"/>
    <xf numFmtId="0" fontId="68" fillId="0" borderId="0" xfId="0" applyFont="1" applyFill="1" applyProtection="1"/>
    <xf numFmtId="173" fontId="12" fillId="0" borderId="0" xfId="0" applyNumberFormat="1" applyFont="1" applyBorder="1" applyProtection="1"/>
    <xf numFmtId="0" fontId="11" fillId="0" borderId="0" xfId="0" applyFont="1" applyProtection="1"/>
    <xf numFmtId="0" fontId="12" fillId="27" borderId="0" xfId="0" applyFont="1" applyFill="1" applyBorder="1" applyProtection="1"/>
    <xf numFmtId="0" fontId="6" fillId="0" borderId="0" xfId="0" applyFont="1" applyFill="1" applyProtection="1"/>
    <xf numFmtId="0" fontId="9" fillId="0" borderId="23" xfId="0" applyFont="1" applyBorder="1" applyProtection="1"/>
    <xf numFmtId="0" fontId="9" fillId="0" borderId="17" xfId="0" applyFont="1" applyBorder="1" applyProtection="1"/>
    <xf numFmtId="0" fontId="12" fillId="0" borderId="17" xfId="0" applyFont="1" applyBorder="1" applyProtection="1"/>
    <xf numFmtId="173" fontId="9" fillId="0" borderId="24" xfId="86" applyNumberFormat="1" applyFont="1" applyBorder="1" applyProtection="1"/>
    <xf numFmtId="0" fontId="5" fillId="0" borderId="0" xfId="86" applyNumberFormat="1" applyFont="1" applyFill="1" applyAlignment="1" applyProtection="1">
      <alignment horizontal="left"/>
    </xf>
    <xf numFmtId="0" fontId="5" fillId="0" borderId="0" xfId="86" applyNumberFormat="1" applyFont="1" applyFill="1" applyBorder="1" applyAlignment="1" applyProtection="1">
      <alignment horizontal="left"/>
    </xf>
    <xf numFmtId="0" fontId="9" fillId="0" borderId="19" xfId="0" applyFont="1" applyBorder="1" applyProtection="1"/>
    <xf numFmtId="0" fontId="6" fillId="0" borderId="0" xfId="86" applyNumberFormat="1" applyFont="1" applyFill="1" applyBorder="1" applyAlignment="1" applyProtection="1">
      <alignment horizontal="left"/>
    </xf>
    <xf numFmtId="173" fontId="9" fillId="0" borderId="25" xfId="86" applyNumberFormat="1" applyFont="1" applyBorder="1" applyProtection="1"/>
    <xf numFmtId="0" fontId="9" fillId="0" borderId="0" xfId="0" applyFont="1" applyFill="1" applyProtection="1"/>
    <xf numFmtId="173" fontId="9" fillId="0" borderId="21" xfId="86" applyNumberFormat="1" applyFont="1" applyBorder="1" applyProtection="1"/>
    <xf numFmtId="173" fontId="12" fillId="0" borderId="6" xfId="86" applyNumberFormat="1" applyFont="1" applyBorder="1" applyProtection="1"/>
    <xf numFmtId="173" fontId="12" fillId="0" borderId="22" xfId="86" applyNumberFormat="1" applyFont="1" applyBorder="1" applyProtection="1"/>
    <xf numFmtId="0" fontId="7" fillId="0" borderId="0" xfId="0" applyFont="1" applyFill="1" applyProtection="1"/>
    <xf numFmtId="173" fontId="22" fillId="0" borderId="0" xfId="0" applyNumberFormat="1" applyFont="1" applyAlignment="1" applyProtection="1">
      <alignment horizontal="left"/>
    </xf>
    <xf numFmtId="0" fontId="12" fillId="0" borderId="0" xfId="0" applyFont="1" applyFill="1" applyAlignment="1" applyProtection="1">
      <alignment wrapText="1"/>
    </xf>
    <xf numFmtId="0" fontId="7" fillId="0" borderId="0" xfId="0" applyFont="1" applyFill="1" applyAlignment="1" applyProtection="1"/>
    <xf numFmtId="0" fontId="12" fillId="0" borderId="0" xfId="0" applyFont="1" applyFill="1" applyAlignment="1" applyProtection="1"/>
    <xf numFmtId="0" fontId="12" fillId="0" borderId="0" xfId="0" applyFont="1" applyFill="1" applyBorder="1" applyAlignment="1" applyProtection="1">
      <alignment wrapText="1"/>
    </xf>
    <xf numFmtId="0" fontId="12" fillId="0" borderId="26" xfId="0" applyFont="1" applyFill="1" applyBorder="1" applyAlignment="1" applyProtection="1">
      <alignment horizontal="center"/>
    </xf>
    <xf numFmtId="0" fontId="0" fillId="0" borderId="27" xfId="0" applyBorder="1" applyAlignment="1" applyProtection="1"/>
    <xf numFmtId="0" fontId="0" fillId="0" borderId="28" xfId="0" applyBorder="1" applyAlignment="1" applyProtection="1"/>
    <xf numFmtId="0" fontId="0" fillId="0" borderId="0" xfId="0" applyFill="1" applyBorder="1" applyAlignment="1" applyProtection="1"/>
    <xf numFmtId="0" fontId="12" fillId="0" borderId="0" xfId="0" applyFont="1" applyBorder="1" applyAlignment="1" applyProtection="1"/>
    <xf numFmtId="0" fontId="12" fillId="0" borderId="19" xfId="0" applyFont="1" applyFill="1" applyBorder="1" applyProtection="1"/>
    <xf numFmtId="0" fontId="12" fillId="0" borderId="0" xfId="0" applyFont="1" applyBorder="1" applyAlignment="1" applyProtection="1">
      <alignment horizontal="center"/>
    </xf>
    <xf numFmtId="0" fontId="9" fillId="0" borderId="24" xfId="0" applyFont="1" applyFill="1" applyBorder="1" applyAlignment="1" applyProtection="1">
      <alignment horizontal="center"/>
    </xf>
    <xf numFmtId="173" fontId="12" fillId="0" borderId="0" xfId="0" applyNumberFormat="1" applyFont="1" applyFill="1" applyBorder="1" applyAlignment="1" applyProtection="1">
      <alignment horizontal="right"/>
    </xf>
    <xf numFmtId="10" fontId="12" fillId="0" borderId="20" xfId="0" applyNumberFormat="1" applyFont="1" applyBorder="1" applyProtection="1"/>
    <xf numFmtId="10" fontId="12" fillId="0" borderId="0" xfId="0" applyNumberFormat="1" applyFont="1" applyFill="1" applyBorder="1" applyProtection="1"/>
    <xf numFmtId="173" fontId="12" fillId="0" borderId="20" xfId="0" applyNumberFormat="1" applyFont="1" applyFill="1" applyBorder="1" applyAlignment="1" applyProtection="1">
      <alignment horizontal="right"/>
    </xf>
    <xf numFmtId="10" fontId="12" fillId="0" borderId="0" xfId="0" applyNumberFormat="1" applyFont="1" applyBorder="1" applyProtection="1"/>
    <xf numFmtId="0" fontId="12" fillId="0" borderId="21" xfId="0" applyFont="1" applyBorder="1" applyProtection="1"/>
    <xf numFmtId="0" fontId="12" fillId="0" borderId="6" xfId="0" applyFont="1" applyBorder="1" applyAlignment="1" applyProtection="1">
      <alignment horizontal="center"/>
    </xf>
    <xf numFmtId="0" fontId="0" fillId="0" borderId="6" xfId="0" applyBorder="1" applyProtection="1"/>
    <xf numFmtId="0" fontId="9" fillId="0" borderId="29" xfId="0" applyFont="1" applyBorder="1" applyAlignment="1" applyProtection="1">
      <alignment horizontal="center" wrapText="1"/>
    </xf>
    <xf numFmtId="173" fontId="9" fillId="0" borderId="0" xfId="86" applyNumberFormat="1" applyFont="1" applyBorder="1" applyAlignment="1" applyProtection="1">
      <alignment horizontal="center" wrapText="1"/>
    </xf>
    <xf numFmtId="173" fontId="9" fillId="0" borderId="29" xfId="86" applyNumberFormat="1" applyFont="1" applyBorder="1" applyAlignment="1" applyProtection="1">
      <alignment horizontal="center" wrapText="1"/>
    </xf>
    <xf numFmtId="173" fontId="9" fillId="0" borderId="24" xfId="86" applyNumberFormat="1" applyFont="1" applyBorder="1" applyAlignment="1" applyProtection="1">
      <alignment horizontal="center" wrapText="1"/>
    </xf>
    <xf numFmtId="0" fontId="9" fillId="0" borderId="30" xfId="0" applyFont="1" applyBorder="1" applyAlignment="1" applyProtection="1">
      <alignment horizontal="center" wrapText="1"/>
    </xf>
    <xf numFmtId="173" fontId="9" fillId="29" borderId="29" xfId="86" applyNumberFormat="1" applyFont="1" applyFill="1" applyBorder="1" applyAlignment="1" applyProtection="1">
      <alignment horizontal="center" wrapText="1"/>
    </xf>
    <xf numFmtId="0" fontId="9" fillId="0" borderId="31" xfId="0" applyFont="1" applyBorder="1" applyAlignment="1" applyProtection="1">
      <alignment horizontal="center"/>
    </xf>
    <xf numFmtId="0" fontId="9" fillId="0" borderId="6" xfId="0" applyFont="1" applyBorder="1" applyAlignment="1" applyProtection="1">
      <alignment horizontal="center"/>
    </xf>
    <xf numFmtId="173" fontId="9" fillId="0" borderId="31" xfId="86" applyNumberFormat="1" applyFont="1" applyBorder="1" applyAlignment="1" applyProtection="1">
      <alignment horizontal="center"/>
    </xf>
    <xf numFmtId="173" fontId="9" fillId="0" borderId="22" xfId="86" applyNumberFormat="1" applyFont="1" applyBorder="1" applyAlignment="1" applyProtection="1">
      <alignment horizontal="center"/>
    </xf>
    <xf numFmtId="0" fontId="9" fillId="0" borderId="31" xfId="0" applyFont="1" applyFill="1" applyBorder="1" applyAlignment="1" applyProtection="1">
      <alignment horizontal="center"/>
    </xf>
    <xf numFmtId="0" fontId="9" fillId="0" borderId="30" xfId="0" applyFont="1" applyFill="1" applyBorder="1" applyAlignment="1" applyProtection="1">
      <alignment horizontal="center"/>
    </xf>
    <xf numFmtId="173" fontId="9" fillId="29" borderId="31" xfId="86" applyNumberFormat="1" applyFont="1" applyFill="1" applyBorder="1" applyAlignment="1" applyProtection="1">
      <alignment horizontal="center"/>
    </xf>
    <xf numFmtId="0" fontId="12" fillId="0" borderId="30" xfId="0" applyNumberFormat="1" applyFont="1" applyBorder="1" applyAlignment="1" applyProtection="1">
      <alignment horizontal="center"/>
    </xf>
    <xf numFmtId="173" fontId="12" fillId="0" borderId="30" xfId="0" applyNumberFormat="1" applyFont="1" applyBorder="1" applyProtection="1"/>
    <xf numFmtId="173" fontId="12" fillId="0" borderId="30" xfId="86" applyNumberFormat="1" applyFont="1" applyFill="1" applyBorder="1" applyProtection="1"/>
    <xf numFmtId="173" fontId="12" fillId="0" borderId="20" xfId="86" applyNumberFormat="1" applyFont="1" applyFill="1" applyBorder="1" applyProtection="1"/>
    <xf numFmtId="174" fontId="12" fillId="0" borderId="30" xfId="0" applyNumberFormat="1" applyFont="1" applyBorder="1" applyProtection="1"/>
    <xf numFmtId="174" fontId="12" fillId="29" borderId="29" xfId="0" applyNumberFormat="1" applyFont="1" applyFill="1" applyBorder="1" applyProtection="1"/>
    <xf numFmtId="173" fontId="12" fillId="0" borderId="30" xfId="86" applyNumberFormat="1" applyFont="1" applyBorder="1" applyProtection="1"/>
    <xf numFmtId="173" fontId="12" fillId="0" borderId="20" xfId="86" applyNumberFormat="1" applyFont="1" applyBorder="1" applyProtection="1"/>
    <xf numFmtId="174" fontId="12" fillId="29" borderId="30" xfId="0" applyNumberFormat="1" applyFont="1" applyFill="1" applyBorder="1" applyProtection="1"/>
    <xf numFmtId="174" fontId="12" fillId="29" borderId="30" xfId="0" applyNumberFormat="1" applyFont="1" applyFill="1" applyBorder="1" applyAlignment="1" applyProtection="1">
      <alignment wrapText="1"/>
    </xf>
    <xf numFmtId="0" fontId="12" fillId="0" borderId="31" xfId="0" applyNumberFormat="1" applyFont="1" applyBorder="1" applyAlignment="1" applyProtection="1">
      <alignment horizontal="center"/>
    </xf>
    <xf numFmtId="173" fontId="12" fillId="0" borderId="6" xfId="0" applyNumberFormat="1" applyFont="1" applyBorder="1" applyProtection="1"/>
    <xf numFmtId="173" fontId="12" fillId="0" borderId="31" xfId="0" applyNumberFormat="1" applyFont="1" applyBorder="1" applyProtection="1"/>
    <xf numFmtId="173" fontId="12" fillId="0" borderId="31" xfId="86" applyNumberFormat="1" applyFont="1" applyBorder="1" applyProtection="1"/>
    <xf numFmtId="174" fontId="12" fillId="0" borderId="31" xfId="0" applyNumberFormat="1" applyFont="1" applyBorder="1" applyProtection="1"/>
    <xf numFmtId="174" fontId="12" fillId="29" borderId="31" xfId="0" applyNumberFormat="1" applyFont="1" applyFill="1" applyBorder="1" applyProtection="1"/>
    <xf numFmtId="174" fontId="12" fillId="0" borderId="0" xfId="0" applyNumberFormat="1" applyFont="1" applyBorder="1" applyProtection="1"/>
    <xf numFmtId="0" fontId="8" fillId="30" borderId="0" xfId="86" applyNumberFormat="1" applyFont="1" applyFill="1" applyAlignment="1" applyProtection="1">
      <protection locked="0"/>
    </xf>
    <xf numFmtId="0" fontId="19" fillId="30" borderId="0" xfId="86" applyNumberFormat="1" applyFont="1" applyFill="1" applyAlignment="1" applyProtection="1">
      <alignment horizontal="left"/>
      <protection locked="0"/>
    </xf>
    <xf numFmtId="0" fontId="153" fillId="30" borderId="22" xfId="0" applyFont="1" applyFill="1" applyBorder="1" applyAlignment="1" applyProtection="1">
      <alignment horizontal="right"/>
      <protection locked="0"/>
    </xf>
    <xf numFmtId="173" fontId="153" fillId="30" borderId="20" xfId="86" applyNumberFormat="1" applyFont="1" applyFill="1" applyBorder="1" applyAlignment="1" applyProtection="1">
      <alignment horizontal="right"/>
      <protection locked="0"/>
    </xf>
    <xf numFmtId="0" fontId="153" fillId="30" borderId="20" xfId="0" applyFont="1" applyFill="1" applyBorder="1" applyAlignment="1" applyProtection="1">
      <alignment horizontal="right"/>
      <protection locked="0"/>
    </xf>
    <xf numFmtId="173" fontId="8" fillId="0" borderId="20" xfId="0" applyNumberFormat="1" applyFont="1" applyFill="1" applyBorder="1" applyAlignment="1" applyProtection="1">
      <alignment horizontal="right"/>
    </xf>
    <xf numFmtId="174" fontId="8" fillId="30" borderId="29" xfId="0" applyNumberFormat="1" applyFont="1" applyFill="1" applyBorder="1" applyProtection="1">
      <protection locked="0"/>
    </xf>
    <xf numFmtId="174" fontId="8" fillId="30" borderId="30" xfId="0" applyNumberFormat="1" applyFont="1" applyFill="1" applyBorder="1" applyProtection="1">
      <protection locked="0"/>
    </xf>
    <xf numFmtId="174" fontId="8" fillId="30" borderId="31" xfId="0" applyNumberFormat="1" applyFont="1" applyFill="1" applyBorder="1" applyProtection="1">
      <protection locked="0"/>
    </xf>
    <xf numFmtId="10" fontId="0" fillId="0" borderId="0" xfId="267" applyNumberFormat="1" applyFont="1" applyAlignment="1" applyProtection="1">
      <alignment horizontal="right"/>
    </xf>
    <xf numFmtId="172" fontId="12" fillId="0" borderId="23" xfId="255" applyFont="1" applyBorder="1" applyAlignment="1" applyProtection="1"/>
    <xf numFmtId="172" fontId="12" fillId="0" borderId="17" xfId="255" applyFont="1" applyBorder="1" applyAlignment="1" applyProtection="1"/>
    <xf numFmtId="3" fontId="12" fillId="0" borderId="24" xfId="255" applyNumberFormat="1" applyFont="1" applyBorder="1" applyAlignment="1" applyProtection="1"/>
    <xf numFmtId="172" fontId="12" fillId="0" borderId="19" xfId="255" applyFont="1" applyBorder="1" applyAlignment="1" applyProtection="1"/>
    <xf numFmtId="3" fontId="12" fillId="0" borderId="20" xfId="255" applyNumberFormat="1" applyFont="1" applyBorder="1" applyAlignment="1" applyProtection="1"/>
    <xf numFmtId="0" fontId="12" fillId="0" borderId="0" xfId="255" quotePrefix="1" applyNumberFormat="1" applyFont="1" applyBorder="1" applyAlignment="1" applyProtection="1">
      <alignment horizontal="center"/>
    </xf>
    <xf numFmtId="0" fontId="12" fillId="0" borderId="20" xfId="0" applyFont="1" applyBorder="1" applyProtection="1"/>
    <xf numFmtId="10" fontId="32" fillId="0" borderId="0" xfId="0" applyNumberFormat="1" applyFont="1" applyFill="1" applyAlignment="1" applyProtection="1">
      <alignment horizontal="center"/>
    </xf>
    <xf numFmtId="0" fontId="12" fillId="0" borderId="19" xfId="0" applyFont="1" applyBorder="1" applyProtection="1"/>
    <xf numFmtId="174" fontId="12" fillId="0" borderId="20" xfId="0" applyNumberFormat="1" applyFont="1" applyBorder="1" applyProtection="1"/>
    <xf numFmtId="174" fontId="12" fillId="0" borderId="22" xfId="0" applyNumberFormat="1" applyFont="1" applyBorder="1" applyProtection="1"/>
    <xf numFmtId="173" fontId="12" fillId="0" borderId="24" xfId="0" applyNumberFormat="1" applyFont="1" applyBorder="1" applyProtection="1"/>
    <xf numFmtId="166" fontId="12" fillId="0" borderId="21" xfId="255" applyNumberFormat="1" applyFont="1" applyBorder="1" applyAlignment="1" applyProtection="1">
      <alignment horizontal="center"/>
    </xf>
    <xf numFmtId="0" fontId="12" fillId="0" borderId="6" xfId="255" applyNumberFormat="1" applyFont="1" applyBorder="1" applyAlignment="1" applyProtection="1">
      <alignment horizontal="center"/>
    </xf>
    <xf numFmtId="173" fontId="12" fillId="0" borderId="6" xfId="255" quotePrefix="1" applyNumberFormat="1" applyFont="1" applyBorder="1" applyAlignment="1" applyProtection="1">
      <alignment horizontal="center"/>
    </xf>
    <xf numFmtId="41" fontId="12" fillId="0" borderId="0" xfId="255" applyNumberFormat="1" applyFont="1" applyFill="1" applyBorder="1" applyAlignment="1" applyProtection="1">
      <alignment horizontal="right"/>
    </xf>
    <xf numFmtId="41" fontId="12" fillId="0" borderId="11" xfId="255" applyNumberFormat="1" applyFont="1" applyFill="1" applyBorder="1" applyAlignment="1" applyProtection="1"/>
    <xf numFmtId="10" fontId="12" fillId="0" borderId="0" xfId="267" applyNumberFormat="1" applyFont="1" applyFill="1" applyBorder="1" applyAlignment="1" applyProtection="1"/>
    <xf numFmtId="173" fontId="12" fillId="0" borderId="0" xfId="86" applyNumberFormat="1" applyFont="1" applyFill="1" applyBorder="1" applyProtection="1"/>
    <xf numFmtId="182" fontId="12" fillId="0" borderId="0" xfId="86" applyNumberFormat="1" applyFont="1" applyProtection="1"/>
    <xf numFmtId="0" fontId="9" fillId="0" borderId="23" xfId="0" applyFont="1" applyFill="1" applyBorder="1" applyAlignment="1" applyProtection="1">
      <alignment horizontal="center"/>
    </xf>
    <xf numFmtId="173" fontId="12" fillId="0" borderId="19" xfId="86" applyNumberFormat="1" applyFont="1" applyBorder="1" applyProtection="1"/>
    <xf numFmtId="173" fontId="9" fillId="0" borderId="0" xfId="86" applyNumberFormat="1" applyFont="1" applyBorder="1" applyProtection="1"/>
    <xf numFmtId="173" fontId="12" fillId="0" borderId="20" xfId="0" applyNumberFormat="1" applyFont="1" applyBorder="1" applyProtection="1"/>
    <xf numFmtId="173" fontId="9" fillId="0" borderId="11" xfId="86" applyNumberFormat="1" applyFont="1" applyBorder="1" applyProtection="1"/>
    <xf numFmtId="173" fontId="12" fillId="0" borderId="25" xfId="0" applyNumberFormat="1" applyFont="1" applyBorder="1" applyProtection="1"/>
    <xf numFmtId="173" fontId="9" fillId="0" borderId="6" xfId="86" applyNumberFormat="1" applyFont="1" applyFill="1" applyBorder="1" applyAlignment="1" applyProtection="1">
      <alignment horizontal="left"/>
    </xf>
    <xf numFmtId="173" fontId="9" fillId="0" borderId="22" xfId="86" applyNumberFormat="1" applyFont="1" applyFill="1" applyBorder="1" applyAlignment="1" applyProtection="1">
      <alignment horizontal="left"/>
    </xf>
    <xf numFmtId="173" fontId="12" fillId="0" borderId="29" xfId="0" applyNumberFormat="1" applyFont="1" applyBorder="1" applyProtection="1"/>
    <xf numFmtId="174" fontId="12" fillId="0" borderId="29" xfId="0" applyNumberFormat="1" applyFont="1" applyBorder="1" applyProtection="1"/>
    <xf numFmtId="0" fontId="0" fillId="0" borderId="0" xfId="0" applyFill="1" applyAlignment="1" applyProtection="1">
      <alignment wrapText="1"/>
    </xf>
    <xf numFmtId="0" fontId="90" fillId="0" borderId="0" xfId="248" applyFont="1" applyFill="1" applyProtection="1"/>
    <xf numFmtId="0" fontId="9" fillId="0" borderId="0" xfId="248" applyFont="1" applyFill="1" applyProtection="1"/>
    <xf numFmtId="3" fontId="9" fillId="0" borderId="0" xfId="255" applyNumberFormat="1" applyFont="1" applyFill="1" applyAlignment="1" applyProtection="1"/>
    <xf numFmtId="0" fontId="2" fillId="0" borderId="0" xfId="248" applyFont="1" applyFill="1" applyProtection="1"/>
    <xf numFmtId="0" fontId="2" fillId="0" borderId="0" xfId="248" applyFont="1" applyFill="1" applyAlignment="1" applyProtection="1">
      <alignment horizontal="left"/>
    </xf>
    <xf numFmtId="0" fontId="12" fillId="0" borderId="0" xfId="248" applyFont="1" applyFill="1" applyAlignment="1" applyProtection="1">
      <alignment horizontal="left"/>
    </xf>
    <xf numFmtId="0" fontId="9" fillId="0" borderId="0" xfId="248" applyFont="1" applyFill="1" applyAlignment="1" applyProtection="1">
      <alignment horizontal="left"/>
    </xf>
    <xf numFmtId="173" fontId="8" fillId="30" borderId="0" xfId="86" applyNumberFormat="1" applyFont="1" applyFill="1" applyBorder="1" applyProtection="1">
      <protection locked="0"/>
    </xf>
    <xf numFmtId="10" fontId="8" fillId="30" borderId="0" xfId="267" applyNumberFormat="1" applyFont="1" applyFill="1" applyAlignment="1" applyProtection="1">
      <alignment horizontal="right" wrapText="1"/>
      <protection locked="0"/>
    </xf>
    <xf numFmtId="44" fontId="8" fillId="30" borderId="0" xfId="115" applyFont="1" applyFill="1" applyAlignment="1" applyProtection="1">
      <alignment horizontal="right" wrapText="1"/>
      <protection locked="0"/>
    </xf>
    <xf numFmtId="173" fontId="20" fillId="30" borderId="0" xfId="86" applyNumberFormat="1" applyFont="1" applyFill="1" applyProtection="1">
      <protection locked="0"/>
    </xf>
    <xf numFmtId="191" fontId="20" fillId="30" borderId="0" xfId="0" applyNumberFormat="1" applyFont="1" applyFill="1" applyProtection="1">
      <protection locked="0"/>
    </xf>
    <xf numFmtId="0" fontId="0" fillId="30" borderId="0" xfId="0" applyFill="1" applyAlignment="1" applyProtection="1">
      <alignment horizontal="center"/>
      <protection locked="0"/>
    </xf>
    <xf numFmtId="0" fontId="20" fillId="30" borderId="0" xfId="0" applyFont="1" applyFill="1" applyProtection="1">
      <protection locked="0"/>
    </xf>
    <xf numFmtId="0" fontId="102" fillId="0" borderId="0" xfId="258" applyFont="1" applyAlignment="1" applyProtection="1"/>
    <xf numFmtId="0" fontId="3" fillId="0" borderId="0" xfId="258" applyProtection="1"/>
    <xf numFmtId="0" fontId="103" fillId="0" borderId="0" xfId="258" applyFont="1" applyProtection="1"/>
    <xf numFmtId="0" fontId="104" fillId="0" borderId="0" xfId="258" applyFont="1" applyAlignment="1" applyProtection="1">
      <alignment horizontal="center"/>
    </xf>
    <xf numFmtId="0" fontId="113" fillId="0" borderId="0" xfId="258" applyFont="1" applyAlignment="1" applyProtection="1">
      <alignment horizontal="center"/>
    </xf>
    <xf numFmtId="0" fontId="3" fillId="0" borderId="0" xfId="258" applyFont="1" applyAlignment="1" applyProtection="1">
      <alignment horizontal="center"/>
    </xf>
    <xf numFmtId="0" fontId="105" fillId="0" borderId="15" xfId="258" applyFont="1" applyBorder="1" applyProtection="1"/>
    <xf numFmtId="0" fontId="103" fillId="0" borderId="15" xfId="258" applyFont="1" applyBorder="1" applyProtection="1"/>
    <xf numFmtId="0" fontId="105" fillId="0" borderId="0" xfId="258" applyFont="1" applyBorder="1" applyProtection="1"/>
    <xf numFmtId="0" fontId="103" fillId="0" borderId="0" xfId="258" applyFont="1" applyBorder="1" applyProtection="1"/>
    <xf numFmtId="0" fontId="3" fillId="0" borderId="0" xfId="258" applyFill="1" applyProtection="1"/>
    <xf numFmtId="0" fontId="3" fillId="0" borderId="0" xfId="258" applyFont="1" applyFill="1" applyBorder="1" applyProtection="1"/>
    <xf numFmtId="192" fontId="3" fillId="0" borderId="0" xfId="258" applyNumberFormat="1" applyFill="1" applyProtection="1"/>
    <xf numFmtId="0" fontId="3" fillId="0" borderId="0" xfId="258" applyFont="1" applyFill="1" applyBorder="1" applyAlignment="1" applyProtection="1">
      <alignment wrapText="1"/>
    </xf>
    <xf numFmtId="0" fontId="0" fillId="0" borderId="0" xfId="0" applyFill="1" applyBorder="1" applyAlignment="1" applyProtection="1">
      <alignment wrapText="1"/>
    </xf>
    <xf numFmtId="0" fontId="106" fillId="0" borderId="32" xfId="258" applyFont="1" applyFill="1" applyBorder="1" applyProtection="1"/>
    <xf numFmtId="0" fontId="82" fillId="0" borderId="2" xfId="258" applyFont="1" applyFill="1" applyBorder="1" applyAlignment="1" applyProtection="1">
      <alignment horizontal="center"/>
    </xf>
    <xf numFmtId="0" fontId="82" fillId="0" borderId="33" xfId="258" applyFont="1" applyFill="1" applyBorder="1" applyAlignment="1" applyProtection="1">
      <alignment horizontal="center"/>
    </xf>
    <xf numFmtId="0" fontId="3" fillId="0" borderId="34" xfId="258" applyFont="1" applyFill="1" applyBorder="1" applyProtection="1"/>
    <xf numFmtId="3" fontId="3" fillId="0" borderId="0" xfId="258" applyNumberFormat="1" applyFont="1" applyFill="1" applyBorder="1" applyProtection="1"/>
    <xf numFmtId="3" fontId="3" fillId="0" borderId="35" xfId="258" applyNumberFormat="1" applyFill="1" applyBorder="1" applyProtection="1"/>
    <xf numFmtId="0" fontId="5" fillId="0" borderId="34" xfId="258" applyFont="1" applyFill="1" applyBorder="1" applyProtection="1"/>
    <xf numFmtId="0" fontId="3" fillId="0" borderId="36" xfId="258" applyFont="1" applyFill="1" applyBorder="1" applyProtection="1"/>
    <xf numFmtId="10" fontId="3" fillId="0" borderId="11" xfId="267" applyNumberFormat="1" applyFont="1" applyFill="1" applyBorder="1" applyAlignment="1" applyProtection="1">
      <alignment horizontal="center"/>
    </xf>
    <xf numFmtId="10" fontId="77" fillId="0" borderId="37" xfId="267" applyNumberFormat="1" applyFont="1" applyFill="1" applyBorder="1" applyAlignment="1" applyProtection="1">
      <alignment horizontal="center"/>
    </xf>
    <xf numFmtId="0" fontId="3" fillId="0" borderId="0" xfId="258" applyBorder="1" applyProtection="1"/>
    <xf numFmtId="0" fontId="3" fillId="0" borderId="0" xfId="258" applyFont="1" applyBorder="1" applyProtection="1"/>
    <xf numFmtId="0" fontId="12" fillId="0" borderId="0" xfId="262" applyFont="1" applyProtection="1"/>
    <xf numFmtId="0" fontId="9" fillId="0" borderId="0" xfId="262" applyFont="1" applyAlignment="1" applyProtection="1">
      <alignment horizontal="center" wrapText="1"/>
    </xf>
    <xf numFmtId="173" fontId="12" fillId="0" borderId="11" xfId="86" applyNumberFormat="1" applyFont="1" applyFill="1" applyBorder="1" applyAlignment="1" applyProtection="1"/>
    <xf numFmtId="173" fontId="12" fillId="0" borderId="0" xfId="86" applyNumberFormat="1" applyFont="1" applyFill="1" applyBorder="1" applyAlignment="1" applyProtection="1"/>
    <xf numFmtId="0" fontId="12" fillId="0" borderId="0" xfId="248" applyFont="1" applyFill="1" applyAlignment="1" applyProtection="1">
      <alignment horizontal="left" vertical="top" wrapText="1"/>
    </xf>
    <xf numFmtId="0" fontId="110" fillId="0" borderId="0" xfId="262" applyProtection="1"/>
    <xf numFmtId="0" fontId="9" fillId="0" borderId="0" xfId="262" applyFont="1" applyFill="1" applyProtection="1"/>
    <xf numFmtId="173" fontId="12" fillId="0" borderId="0" xfId="262" applyNumberFormat="1" applyFont="1" applyProtection="1"/>
    <xf numFmtId="0" fontId="12" fillId="0" borderId="0" xfId="262" applyFont="1" applyAlignment="1" applyProtection="1">
      <alignment vertical="top" wrapText="1"/>
    </xf>
    <xf numFmtId="10" fontId="12" fillId="0" borderId="0" xfId="262" applyNumberFormat="1" applyFont="1" applyProtection="1"/>
    <xf numFmtId="44" fontId="12" fillId="0" borderId="0" xfId="262" applyNumberFormat="1" applyFont="1" applyProtection="1"/>
    <xf numFmtId="0" fontId="114" fillId="0" borderId="0" xfId="262" applyFont="1" applyFill="1" applyProtection="1"/>
    <xf numFmtId="173" fontId="12" fillId="0" borderId="11" xfId="262" applyNumberFormat="1" applyFont="1" applyBorder="1" applyProtection="1"/>
    <xf numFmtId="10" fontId="12" fillId="0" borderId="0" xfId="267" applyNumberFormat="1" applyFont="1" applyProtection="1"/>
    <xf numFmtId="0" fontId="12" fillId="0" borderId="0" xfId="262" applyFont="1" applyFill="1" applyProtection="1"/>
    <xf numFmtId="10" fontId="12" fillId="0" borderId="0" xfId="267" applyNumberFormat="1" applyFont="1" applyFill="1" applyProtection="1"/>
    <xf numFmtId="10" fontId="12" fillId="32" borderId="0" xfId="267" applyNumberFormat="1" applyFont="1" applyFill="1" applyProtection="1"/>
    <xf numFmtId="10" fontId="12" fillId="0" borderId="11" xfId="267" applyNumberFormat="1" applyFont="1" applyBorder="1" applyProtection="1"/>
    <xf numFmtId="0" fontId="9" fillId="0" borderId="0" xfId="262" applyFont="1" applyProtection="1"/>
    <xf numFmtId="10" fontId="9" fillId="0" borderId="0" xfId="267" applyNumberFormat="1" applyFont="1" applyProtection="1"/>
    <xf numFmtId="173" fontId="12" fillId="0" borderId="11" xfId="86" applyNumberFormat="1" applyFont="1" applyFill="1" applyBorder="1" applyProtection="1"/>
    <xf numFmtId="0" fontId="115" fillId="0" borderId="0" xfId="262" applyFont="1" applyFill="1" applyProtection="1"/>
    <xf numFmtId="0" fontId="12" fillId="0" borderId="0" xfId="248" applyFont="1" applyFill="1" applyBorder="1" applyAlignment="1" applyProtection="1">
      <alignment horizontal="left"/>
    </xf>
    <xf numFmtId="0" fontId="94" fillId="0" borderId="0" xfId="262" applyFont="1" applyFill="1" applyProtection="1"/>
    <xf numFmtId="173" fontId="12" fillId="0" borderId="0" xfId="262" applyNumberFormat="1" applyFont="1" applyFill="1" applyProtection="1"/>
    <xf numFmtId="0" fontId="12" fillId="0" borderId="0" xfId="262" applyFont="1" applyFill="1" applyAlignment="1" applyProtection="1">
      <alignment vertical="top" wrapText="1"/>
    </xf>
    <xf numFmtId="43" fontId="12" fillId="0" borderId="0" xfId="262" applyNumberFormat="1" applyFont="1" applyProtection="1"/>
    <xf numFmtId="10" fontId="12" fillId="0" borderId="11" xfId="267" applyNumberFormat="1" applyFont="1" applyFill="1" applyBorder="1" applyProtection="1"/>
    <xf numFmtId="10" fontId="94" fillId="0" borderId="0" xfId="267" applyNumberFormat="1" applyFont="1" applyFill="1" applyProtection="1"/>
    <xf numFmtId="10" fontId="12" fillId="30" borderId="0" xfId="267" applyNumberFormat="1" applyFont="1" applyFill="1" applyAlignment="1" applyProtection="1">
      <alignment horizontal="right" wrapText="1"/>
      <protection locked="0"/>
    </xf>
    <xf numFmtId="164" fontId="8" fillId="30" borderId="0" xfId="267" applyNumberFormat="1" applyFont="1" applyFill="1" applyAlignment="1" applyProtection="1">
      <alignment horizontal="right" wrapText="1"/>
      <protection locked="0"/>
    </xf>
    <xf numFmtId="44" fontId="12" fillId="30" borderId="0" xfId="115" applyFont="1" applyFill="1" applyAlignment="1" applyProtection="1">
      <alignment horizontal="right" wrapText="1"/>
      <protection locked="0"/>
    </xf>
    <xf numFmtId="173" fontId="12" fillId="30" borderId="0" xfId="86" applyNumberFormat="1" applyFont="1" applyFill="1" applyProtection="1">
      <protection locked="0"/>
    </xf>
    <xf numFmtId="170" fontId="122" fillId="30" borderId="31" xfId="0" applyNumberFormat="1" applyFont="1" applyFill="1" applyBorder="1" applyAlignment="1" applyProtection="1">
      <alignment horizontal="center"/>
      <protection locked="0"/>
    </xf>
    <xf numFmtId="0" fontId="122" fillId="0" borderId="0" xfId="0" applyFont="1" applyFill="1" applyAlignment="1" applyProtection="1">
      <alignment horizontal="left"/>
    </xf>
    <xf numFmtId="0" fontId="122" fillId="0" borderId="0" xfId="0" applyFont="1" applyFill="1" applyProtection="1"/>
    <xf numFmtId="0" fontId="122" fillId="0" borderId="30" xfId="0" applyFont="1" applyFill="1" applyBorder="1" applyAlignment="1" applyProtection="1">
      <alignment horizontal="center" wrapText="1"/>
    </xf>
    <xf numFmtId="0" fontId="122" fillId="0" borderId="30" xfId="0" applyFont="1" applyFill="1" applyBorder="1" applyProtection="1"/>
    <xf numFmtId="170" fontId="122" fillId="0" borderId="0" xfId="0" applyNumberFormat="1" applyFont="1" applyFill="1" applyAlignment="1" applyProtection="1">
      <alignment horizontal="center"/>
    </xf>
    <xf numFmtId="170" fontId="122" fillId="0" borderId="0" xfId="0" applyNumberFormat="1" applyFont="1" applyFill="1" applyProtection="1"/>
    <xf numFmtId="170" fontId="5" fillId="0" borderId="0" xfId="0" applyNumberFormat="1" applyFont="1" applyFill="1" applyProtection="1"/>
    <xf numFmtId="5" fontId="122" fillId="0" borderId="31" xfId="0" applyNumberFormat="1" applyFont="1" applyFill="1" applyBorder="1" applyAlignment="1" applyProtection="1">
      <alignment horizontal="center"/>
    </xf>
    <xf numFmtId="173" fontId="122" fillId="0" borderId="0" xfId="0" applyNumberFormat="1" applyFont="1" applyFill="1" applyProtection="1"/>
    <xf numFmtId="0" fontId="122" fillId="0" borderId="0" xfId="0" applyFont="1" applyFill="1" applyAlignment="1" applyProtection="1">
      <alignment horizontal="center"/>
    </xf>
    <xf numFmtId="173" fontId="122" fillId="0" borderId="6" xfId="0" applyNumberFormat="1" applyFont="1" applyFill="1" applyBorder="1" applyProtection="1"/>
    <xf numFmtId="0" fontId="122" fillId="0" borderId="6" xfId="0" applyFont="1" applyFill="1" applyBorder="1" applyAlignment="1" applyProtection="1">
      <alignment horizontal="center"/>
    </xf>
    <xf numFmtId="0" fontId="5" fillId="0" borderId="6" xfId="0" applyFont="1" applyFill="1" applyBorder="1" applyProtection="1"/>
    <xf numFmtId="173" fontId="122" fillId="0" borderId="0" xfId="0" applyNumberFormat="1" applyFont="1" applyFill="1" applyAlignment="1" applyProtection="1">
      <alignment horizontal="left"/>
    </xf>
    <xf numFmtId="0" fontId="123" fillId="0" borderId="0" xfId="0" applyNumberFormat="1" applyFont="1" applyFill="1" applyAlignment="1" applyProtection="1">
      <alignment horizontal="left"/>
    </xf>
    <xf numFmtId="0" fontId="123" fillId="0" borderId="0" xfId="0" applyFont="1" applyFill="1" applyAlignment="1" applyProtection="1">
      <alignment horizontal="center" wrapText="1"/>
    </xf>
    <xf numFmtId="0" fontId="123" fillId="0" borderId="0" xfId="0" applyFont="1" applyFill="1" applyAlignment="1" applyProtection="1">
      <alignment horizontal="center"/>
    </xf>
    <xf numFmtId="173" fontId="123" fillId="0" borderId="0" xfId="0" applyNumberFormat="1" applyFont="1" applyFill="1" applyAlignment="1" applyProtection="1">
      <alignment horizontal="center" wrapText="1"/>
    </xf>
    <xf numFmtId="173" fontId="123" fillId="0" borderId="0" xfId="0" applyNumberFormat="1" applyFont="1" applyFill="1" applyAlignment="1" applyProtection="1">
      <alignment horizontal="center"/>
    </xf>
    <xf numFmtId="176" fontId="122" fillId="0" borderId="0" xfId="268" applyNumberFormat="1" applyFont="1" applyFill="1" applyProtection="1"/>
    <xf numFmtId="173" fontId="122" fillId="0" borderId="0" xfId="0" applyNumberFormat="1" applyFont="1" applyFill="1" applyAlignment="1" applyProtection="1">
      <alignment horizontal="center"/>
    </xf>
    <xf numFmtId="0" fontId="124" fillId="0" borderId="0" xfId="0" applyFont="1" applyFill="1" applyAlignment="1" applyProtection="1">
      <alignment horizontal="center"/>
    </xf>
    <xf numFmtId="173" fontId="122" fillId="0" borderId="0" xfId="88" applyNumberFormat="1" applyFont="1" applyFill="1" applyProtection="1"/>
    <xf numFmtId="176" fontId="122" fillId="0" borderId="0" xfId="0" applyNumberFormat="1" applyFont="1" applyFill="1" applyProtection="1"/>
    <xf numFmtId="173" fontId="122" fillId="0" borderId="11" xfId="88" applyNumberFormat="1" applyFont="1" applyFill="1" applyBorder="1" applyProtection="1"/>
    <xf numFmtId="173" fontId="123" fillId="0" borderId="0" xfId="88" applyNumberFormat="1" applyFont="1" applyFill="1" applyProtection="1"/>
    <xf numFmtId="173" fontId="123" fillId="0" borderId="0" xfId="88" applyNumberFormat="1" applyFont="1" applyFill="1" applyAlignment="1" applyProtection="1">
      <alignment horizontal="center"/>
    </xf>
    <xf numFmtId="0" fontId="124" fillId="0" borderId="0" xfId="0" applyFont="1" applyFill="1" applyProtection="1"/>
    <xf numFmtId="195" fontId="5" fillId="0" borderId="0" xfId="0" applyNumberFormat="1" applyFont="1" applyFill="1" applyProtection="1"/>
    <xf numFmtId="173" fontId="5" fillId="0" borderId="0" xfId="88" applyNumberFormat="1" applyFont="1" applyFill="1" applyProtection="1"/>
    <xf numFmtId="173" fontId="5" fillId="0" borderId="0" xfId="116" applyNumberFormat="1" applyFont="1" applyFill="1" applyProtection="1"/>
    <xf numFmtId="176" fontId="122" fillId="30" borderId="0" xfId="268" applyNumberFormat="1" applyFont="1" applyFill="1" applyProtection="1">
      <protection locked="0"/>
    </xf>
    <xf numFmtId="0" fontId="12" fillId="32" borderId="0" xfId="0" applyFont="1" applyFill="1" applyProtection="1"/>
    <xf numFmtId="173" fontId="2" fillId="30" borderId="6" xfId="255" applyNumberFormat="1" applyFont="1" applyFill="1" applyBorder="1" applyAlignment="1" applyProtection="1">
      <alignment horizontal="center"/>
      <protection locked="0"/>
    </xf>
    <xf numFmtId="174" fontId="153" fillId="30" borderId="0" xfId="0" applyNumberFormat="1" applyFont="1" applyFill="1" applyBorder="1" applyProtection="1">
      <protection locked="0"/>
    </xf>
    <xf numFmtId="174" fontId="12" fillId="30" borderId="6" xfId="0" applyNumberFormat="1" applyFont="1" applyFill="1" applyBorder="1" applyProtection="1">
      <protection locked="0"/>
    </xf>
    <xf numFmtId="3" fontId="5" fillId="32" borderId="0" xfId="255" applyNumberFormat="1" applyFont="1" applyFill="1" applyBorder="1" applyAlignment="1" applyProtection="1"/>
    <xf numFmtId="41" fontId="12" fillId="32" borderId="0" xfId="255" applyNumberFormat="1" applyFont="1" applyFill="1" applyBorder="1" applyAlignment="1" applyProtection="1"/>
    <xf numFmtId="41" fontId="12" fillId="32" borderId="0" xfId="255" applyNumberFormat="1" applyFont="1" applyFill="1" applyBorder="1" applyAlignment="1" applyProtection="1">
      <alignment horizontal="center"/>
    </xf>
    <xf numFmtId="41" fontId="12" fillId="32" borderId="0" xfId="0" applyNumberFormat="1" applyFont="1" applyFill="1" applyBorder="1" applyProtection="1"/>
    <xf numFmtId="41" fontId="12" fillId="32" borderId="0" xfId="0" applyNumberFormat="1" applyFont="1" applyFill="1" applyProtection="1"/>
    <xf numFmtId="173" fontId="12" fillId="32" borderId="0" xfId="86" applyNumberFormat="1" applyFont="1" applyFill="1" applyProtection="1"/>
    <xf numFmtId="10" fontId="12" fillId="32" borderId="0" xfId="0" applyNumberFormat="1" applyFont="1" applyFill="1" applyProtection="1"/>
    <xf numFmtId="10" fontId="13" fillId="32" borderId="0" xfId="0" applyNumberFormat="1" applyFont="1" applyFill="1" applyProtection="1"/>
    <xf numFmtId="3" fontId="5" fillId="30" borderId="0" xfId="0" applyNumberFormat="1" applyFont="1" applyFill="1" applyAlignment="1" applyProtection="1">
      <alignment horizontal="center"/>
      <protection locked="0"/>
    </xf>
    <xf numFmtId="0" fontId="15" fillId="30" borderId="0" xfId="248" applyFont="1" applyFill="1" applyAlignment="1" applyProtection="1">
      <alignment horizontal="left"/>
      <protection locked="0"/>
    </xf>
    <xf numFmtId="0" fontId="15" fillId="30" borderId="0" xfId="248" applyFont="1" applyFill="1" applyProtection="1">
      <protection locked="0"/>
    </xf>
    <xf numFmtId="0" fontId="10" fillId="30" borderId="0" xfId="248" applyFont="1" applyFill="1" applyAlignment="1" applyProtection="1">
      <alignment horizontal="center"/>
      <protection locked="0"/>
    </xf>
    <xf numFmtId="3" fontId="63" fillId="30" borderId="0" xfId="0" applyNumberFormat="1" applyFont="1" applyFill="1" applyProtection="1">
      <protection locked="0"/>
    </xf>
    <xf numFmtId="3" fontId="63" fillId="30" borderId="0" xfId="0" quotePrefix="1" applyNumberFormat="1" applyFont="1" applyFill="1" applyProtection="1">
      <protection locked="0"/>
    </xf>
    <xf numFmtId="3" fontId="125" fillId="30" borderId="0" xfId="0" applyNumberFormat="1" applyFont="1" applyFill="1" applyProtection="1">
      <protection locked="0"/>
    </xf>
    <xf numFmtId="41" fontId="125" fillId="30" borderId="0" xfId="248" applyNumberFormat="1" applyFont="1" applyFill="1" applyProtection="1">
      <protection locked="0"/>
    </xf>
    <xf numFmtId="0" fontId="63" fillId="0" borderId="0" xfId="248" applyFont="1" applyAlignment="1">
      <alignment horizontal="center"/>
    </xf>
    <xf numFmtId="0" fontId="63" fillId="0" borderId="0" xfId="248" applyFont="1"/>
    <xf numFmtId="41" fontId="63" fillId="0" borderId="0" xfId="248" applyNumberFormat="1" applyFont="1"/>
    <xf numFmtId="41" fontId="125" fillId="30" borderId="11" xfId="248" applyNumberFormat="1" applyFont="1" applyFill="1" applyBorder="1" applyProtection="1">
      <protection locked="0"/>
    </xf>
    <xf numFmtId="0" fontId="63" fillId="0" borderId="0" xfId="248" applyFont="1" applyFill="1"/>
    <xf numFmtId="0" fontId="63" fillId="0" borderId="0" xfId="0" applyFont="1"/>
    <xf numFmtId="173" fontId="63" fillId="0" borderId="0" xfId="86" applyNumberFormat="1" applyFont="1" applyFill="1"/>
    <xf numFmtId="173" fontId="126" fillId="0" borderId="0" xfId="86" applyNumberFormat="1" applyFont="1" applyFill="1"/>
    <xf numFmtId="41" fontId="63" fillId="0" borderId="0" xfId="248" applyNumberFormat="1" applyFont="1" applyFill="1"/>
    <xf numFmtId="38" fontId="63" fillId="0" borderId="0" xfId="0" applyNumberFormat="1" applyFont="1" applyFill="1" applyBorder="1" applyAlignment="1"/>
    <xf numFmtId="0" fontId="63" fillId="0" borderId="0" xfId="207" applyFont="1" applyFill="1" applyBorder="1" applyAlignment="1">
      <alignment horizontal="center"/>
    </xf>
    <xf numFmtId="0" fontId="63" fillId="0" borderId="0" xfId="207" applyFont="1" applyFill="1" applyBorder="1"/>
    <xf numFmtId="0" fontId="63" fillId="0" borderId="0" xfId="248" applyFont="1" applyAlignment="1">
      <alignment horizontal="left"/>
    </xf>
    <xf numFmtId="3" fontId="63" fillId="0" borderId="0" xfId="207" applyNumberFormat="1" applyFont="1" applyFill="1" applyBorder="1" applyAlignment="1"/>
    <xf numFmtId="38" fontId="63" fillId="0" borderId="0" xfId="0" applyNumberFormat="1" applyFont="1" applyFill="1" applyBorder="1" applyAlignment="1">
      <alignment horizontal="center"/>
    </xf>
    <xf numFmtId="0" fontId="127" fillId="0" borderId="0" xfId="248" applyFont="1" applyAlignment="1">
      <alignment horizontal="center"/>
    </xf>
    <xf numFmtId="0" fontId="40" fillId="0" borderId="0" xfId="248" applyFont="1" applyFill="1" applyAlignment="1">
      <alignment horizontal="center"/>
    </xf>
    <xf numFmtId="9" fontId="40" fillId="0" borderId="0" xfId="248" applyNumberFormat="1" applyFont="1" applyFill="1" applyAlignment="1">
      <alignment horizontal="center"/>
    </xf>
    <xf numFmtId="0" fontId="40" fillId="0" borderId="0" xfId="248" applyFont="1" applyFill="1" applyBorder="1"/>
    <xf numFmtId="0" fontId="40" fillId="0" borderId="0" xfId="248" applyFont="1" applyAlignment="1">
      <alignment horizontal="center" wrapText="1"/>
    </xf>
    <xf numFmtId="0" fontId="127" fillId="0" borderId="0" xfId="248" applyFont="1" applyAlignment="1">
      <alignment horizontal="right"/>
    </xf>
    <xf numFmtId="0" fontId="63" fillId="0" borderId="0" xfId="0" applyFont="1" applyAlignment="1">
      <alignment horizontal="center" wrapText="1"/>
    </xf>
    <xf numFmtId="0" fontId="40" fillId="0" borderId="11" xfId="248" applyFont="1" applyBorder="1" applyAlignment="1">
      <alignment horizontal="center"/>
    </xf>
    <xf numFmtId="173" fontId="154" fillId="30" borderId="0" xfId="86" applyNumberFormat="1" applyFont="1" applyFill="1"/>
    <xf numFmtId="173" fontId="12" fillId="0" borderId="30" xfId="98" applyNumberFormat="1" applyFont="1" applyFill="1" applyBorder="1" applyProtection="1"/>
    <xf numFmtId="173" fontId="12" fillId="0" borderId="20" xfId="98" applyNumberFormat="1" applyFont="1" applyFill="1" applyBorder="1" applyProtection="1"/>
    <xf numFmtId="0" fontId="12" fillId="0" borderId="0" xfId="0" applyFont="1" applyAlignment="1" applyProtection="1">
      <alignment vertical="top" wrapText="1"/>
    </xf>
    <xf numFmtId="0" fontId="9" fillId="0" borderId="0" xfId="261" applyFont="1" applyFill="1" applyAlignment="1" applyProtection="1">
      <alignment horizontal="center"/>
    </xf>
    <xf numFmtId="43" fontId="12" fillId="0" borderId="0" xfId="113" applyFont="1" applyFill="1" applyProtection="1"/>
    <xf numFmtId="173" fontId="8" fillId="30" borderId="0" xfId="113" applyNumberFormat="1" applyFont="1" applyFill="1" applyProtection="1">
      <protection locked="0"/>
    </xf>
    <xf numFmtId="173" fontId="12" fillId="0" borderId="0" xfId="261" applyNumberFormat="1" applyFont="1" applyFill="1" applyProtection="1"/>
    <xf numFmtId="0" fontId="130" fillId="0" borderId="0" xfId="0" applyFont="1" applyAlignment="1">
      <alignment vertical="center"/>
    </xf>
    <xf numFmtId="0" fontId="71" fillId="0" borderId="11" xfId="256" applyFont="1" applyBorder="1" applyAlignment="1">
      <alignment horizontal="center"/>
    </xf>
    <xf numFmtId="173" fontId="78" fillId="30" borderId="11" xfId="256" applyNumberFormat="1" applyFont="1" applyFill="1" applyBorder="1" applyProtection="1">
      <protection locked="0"/>
    </xf>
    <xf numFmtId="173" fontId="78" fillId="0" borderId="11" xfId="256" applyNumberFormat="1" applyFont="1" applyFill="1" applyBorder="1"/>
    <xf numFmtId="0" fontId="71" fillId="0" borderId="11" xfId="256" applyFont="1" applyBorder="1"/>
    <xf numFmtId="0" fontId="12" fillId="0" borderId="11" xfId="256" applyFont="1" applyBorder="1"/>
    <xf numFmtId="0" fontId="18" fillId="0" borderId="11" xfId="256" applyFont="1" applyFill="1" applyBorder="1"/>
    <xf numFmtId="173" fontId="89" fillId="0" borderId="11" xfId="256" applyNumberFormat="1" applyFont="1" applyFill="1" applyBorder="1"/>
    <xf numFmtId="173" fontId="71" fillId="0" borderId="0" xfId="256" applyNumberFormat="1" applyFont="1" applyFill="1" applyBorder="1" applyProtection="1">
      <protection locked="0"/>
    </xf>
    <xf numFmtId="9" fontId="78" fillId="30" borderId="0" xfId="267" applyFont="1" applyFill="1" applyBorder="1" applyProtection="1">
      <protection locked="0"/>
    </xf>
    <xf numFmtId="173" fontId="78" fillId="30" borderId="0" xfId="256" applyNumberFormat="1" applyFont="1" applyFill="1" applyBorder="1" applyAlignment="1" applyProtection="1">
      <alignment horizontal="center"/>
      <protection locked="0"/>
    </xf>
    <xf numFmtId="0" fontId="12" fillId="0" borderId="0" xfId="162"/>
    <xf numFmtId="0" fontId="12" fillId="0" borderId="0" xfId="162" applyAlignment="1">
      <alignment horizontal="center"/>
    </xf>
    <xf numFmtId="0" fontId="12" fillId="0" borderId="0" xfId="162" applyFont="1" applyFill="1" applyAlignment="1">
      <alignment horizontal="center"/>
    </xf>
    <xf numFmtId="0" fontId="12" fillId="0" borderId="0" xfId="162" applyFont="1" applyAlignment="1">
      <alignment horizontal="center"/>
    </xf>
    <xf numFmtId="0" fontId="12" fillId="0" borderId="0" xfId="162" applyFont="1" applyAlignment="1"/>
    <xf numFmtId="0" fontId="12" fillId="0" borderId="0" xfId="162" applyFill="1" applyAlignment="1"/>
    <xf numFmtId="0" fontId="12" fillId="0" borderId="0" xfId="162" applyProtection="1"/>
    <xf numFmtId="41" fontId="8" fillId="30" borderId="0" xfId="249" applyNumberFormat="1" applyFont="1" applyFill="1" applyProtection="1">
      <protection locked="0"/>
    </xf>
    <xf numFmtId="0" fontId="12" fillId="0" borderId="0" xfId="162" applyFont="1" applyFill="1" applyAlignment="1"/>
    <xf numFmtId="0" fontId="12" fillId="0" borderId="0" xfId="162" applyFill="1" applyAlignment="1">
      <alignment horizontal="center"/>
    </xf>
    <xf numFmtId="0" fontId="9" fillId="0" borderId="0" xfId="162" applyFont="1" applyFill="1" applyAlignment="1">
      <alignment horizontal="left"/>
    </xf>
    <xf numFmtId="3" fontId="12" fillId="0" borderId="0" xfId="162" applyNumberFormat="1" applyFont="1" applyFill="1" applyAlignment="1"/>
    <xf numFmtId="3" fontId="12" fillId="0" borderId="0" xfId="162" applyNumberFormat="1" applyFill="1" applyAlignment="1"/>
    <xf numFmtId="0" fontId="13" fillId="0" borderId="0" xfId="162" applyFont="1" applyFill="1" applyAlignment="1">
      <alignment horizontal="center"/>
    </xf>
    <xf numFmtId="3" fontId="12" fillId="0" borderId="0" xfId="162" applyNumberFormat="1" applyFont="1" applyFill="1" applyAlignment="1">
      <alignment horizontal="centerContinuous"/>
    </xf>
    <xf numFmtId="3" fontId="13" fillId="0" borderId="0" xfId="162" applyNumberFormat="1" applyFont="1" applyFill="1" applyAlignment="1">
      <alignment horizontal="centerContinuous"/>
    </xf>
    <xf numFmtId="3" fontId="12" fillId="0" borderId="0" xfId="162" applyNumberFormat="1" applyFill="1" applyAlignment="1">
      <alignment horizontal="centerContinuous"/>
    </xf>
    <xf numFmtId="3" fontId="12" fillId="0" borderId="38" xfId="162" applyNumberFormat="1" applyFont="1" applyFill="1" applyBorder="1" applyAlignment="1"/>
    <xf numFmtId="3" fontId="12" fillId="0" borderId="0" xfId="162" applyNumberFormat="1" applyFont="1" applyFill="1" applyAlignment="1">
      <alignment horizontal="left"/>
    </xf>
    <xf numFmtId="37" fontId="12" fillId="0" borderId="0" xfId="162" applyNumberFormat="1" applyFont="1" applyFill="1" applyAlignment="1"/>
    <xf numFmtId="37" fontId="12" fillId="0" borderId="0" xfId="162" applyNumberFormat="1" applyFont="1" applyFill="1" applyAlignment="1">
      <alignment horizontal="center"/>
    </xf>
    <xf numFmtId="37" fontId="12" fillId="0" borderId="38" xfId="162" applyNumberFormat="1" applyFont="1" applyFill="1" applyBorder="1" applyAlignment="1"/>
    <xf numFmtId="37" fontId="12" fillId="0" borderId="39" xfId="162" applyNumberFormat="1" applyFont="1" applyFill="1" applyBorder="1" applyAlignment="1"/>
    <xf numFmtId="37" fontId="12" fillId="33" borderId="0" xfId="162" applyNumberFormat="1" applyFont="1" applyFill="1" applyAlignment="1"/>
    <xf numFmtId="37" fontId="12" fillId="0" borderId="0" xfId="162" applyNumberFormat="1" applyFill="1" applyAlignment="1"/>
    <xf numFmtId="37" fontId="12" fillId="0" borderId="40" xfId="162" applyNumberFormat="1" applyFont="1" applyFill="1" applyBorder="1" applyAlignment="1"/>
    <xf numFmtId="37" fontId="12" fillId="0" borderId="0" xfId="162" applyNumberFormat="1" applyFont="1" applyFill="1"/>
    <xf numFmtId="3" fontId="12" fillId="0" borderId="0" xfId="162" applyNumberFormat="1" applyFont="1" applyFill="1" applyAlignment="1" applyProtection="1">
      <alignment horizontal="center"/>
      <protection locked="0"/>
    </xf>
    <xf numFmtId="3" fontId="12" fillId="0" borderId="0" xfId="162" applyNumberFormat="1" applyFont="1" applyFill="1" applyAlignment="1">
      <alignment horizontal="center"/>
    </xf>
    <xf numFmtId="3" fontId="12" fillId="0" borderId="0" xfId="162" applyNumberFormat="1" applyFont="1" applyAlignment="1" applyProtection="1">
      <protection locked="0"/>
    </xf>
    <xf numFmtId="3" fontId="12" fillId="0" borderId="0" xfId="162" applyNumberFormat="1" applyFont="1" applyAlignment="1"/>
    <xf numFmtId="0" fontId="13" fillId="0" borderId="0" xfId="162" applyFont="1" applyAlignment="1">
      <alignment horizontal="center"/>
    </xf>
    <xf numFmtId="3" fontId="12" fillId="0" borderId="0" xfId="162" applyNumberFormat="1" applyFont="1" applyAlignment="1">
      <alignment horizontal="centerContinuous"/>
    </xf>
    <xf numFmtId="3" fontId="13" fillId="0" borderId="0" xfId="162" applyNumberFormat="1" applyFont="1" applyAlignment="1">
      <alignment horizontal="centerContinuous"/>
    </xf>
    <xf numFmtId="3" fontId="12" fillId="0" borderId="0" xfId="162" applyNumberFormat="1" applyAlignment="1">
      <alignment horizontal="centerContinuous"/>
    </xf>
    <xf numFmtId="3" fontId="12" fillId="0" borderId="38" xfId="162" applyNumberFormat="1" applyFont="1" applyBorder="1" applyAlignment="1"/>
    <xf numFmtId="0" fontId="12" fillId="0" borderId="0" xfId="162" applyFont="1" applyFill="1" applyAlignment="1">
      <alignment horizontal="left"/>
    </xf>
    <xf numFmtId="37" fontId="12" fillId="0" borderId="14" xfId="162" applyNumberFormat="1" applyFont="1" applyFill="1" applyBorder="1" applyAlignment="1"/>
    <xf numFmtId="37" fontId="12" fillId="0" borderId="0" xfId="162" applyNumberFormat="1"/>
    <xf numFmtId="37" fontId="155" fillId="0" borderId="39" xfId="162" applyNumberFormat="1" applyFont="1" applyFill="1" applyBorder="1" applyAlignment="1"/>
    <xf numFmtId="37" fontId="155" fillId="0" borderId="0" xfId="162" applyNumberFormat="1" applyFont="1" applyFill="1" applyAlignment="1"/>
    <xf numFmtId="4" fontId="12" fillId="0" borderId="0" xfId="162" applyNumberFormat="1" applyFont="1" applyFill="1" applyAlignment="1">
      <alignment horizontal="center"/>
    </xf>
    <xf numFmtId="196" fontId="8" fillId="30" borderId="0" xfId="249" applyNumberFormat="1" applyFont="1" applyFill="1" applyProtection="1">
      <protection locked="0"/>
    </xf>
    <xf numFmtId="0" fontId="152" fillId="0" borderId="0" xfId="162" applyFont="1" applyFill="1" applyAlignment="1">
      <alignment horizontal="left"/>
    </xf>
    <xf numFmtId="3" fontId="12" fillId="34" borderId="0" xfId="162" applyNumberFormat="1" applyFont="1" applyFill="1" applyAlignment="1"/>
    <xf numFmtId="0" fontId="12" fillId="34" borderId="0" xfId="162" applyFill="1"/>
    <xf numFmtId="3" fontId="12" fillId="34" borderId="0" xfId="162" applyNumberFormat="1" applyFont="1" applyFill="1" applyAlignment="1" applyProtection="1">
      <alignment horizontal="center"/>
      <protection locked="0"/>
    </xf>
    <xf numFmtId="0" fontId="12" fillId="34" borderId="0" xfId="162" applyFont="1" applyFill="1" applyAlignment="1">
      <alignment horizontal="center"/>
    </xf>
    <xf numFmtId="0" fontId="13" fillId="34" borderId="0" xfId="162" applyFont="1" applyFill="1" applyAlignment="1">
      <alignment horizontal="center"/>
    </xf>
    <xf numFmtId="41" fontId="8" fillId="30" borderId="0" xfId="250" applyNumberFormat="1" applyFont="1" applyFill="1"/>
    <xf numFmtId="3" fontId="9" fillId="0" borderId="0" xfId="162" applyNumberFormat="1" applyFont="1" applyFill="1" applyAlignment="1">
      <alignment horizontal="left"/>
    </xf>
    <xf numFmtId="196" fontId="8" fillId="30" borderId="0" xfId="250" applyNumberFormat="1" applyFont="1" applyFill="1" applyProtection="1">
      <protection locked="0"/>
    </xf>
    <xf numFmtId="173" fontId="78" fillId="30" borderId="0" xfId="256" applyNumberFormat="1" applyFont="1" applyFill="1" applyBorder="1" applyProtection="1">
      <protection locked="0"/>
    </xf>
    <xf numFmtId="173" fontId="12" fillId="0" borderId="0" xfId="256" applyNumberFormat="1" applyFont="1"/>
    <xf numFmtId="173" fontId="78" fillId="30" borderId="0" xfId="256" applyNumberFormat="1" applyFont="1" applyFill="1" applyBorder="1" applyProtection="1">
      <protection locked="0"/>
    </xf>
    <xf numFmtId="0" fontId="18" fillId="0" borderId="11" xfId="256" applyNumberFormat="1" applyFont="1" applyBorder="1" applyAlignment="1">
      <alignment horizontal="center"/>
    </xf>
    <xf numFmtId="0" fontId="18" fillId="0" borderId="11" xfId="256" applyNumberFormat="1" applyFont="1" applyBorder="1"/>
    <xf numFmtId="0" fontId="18" fillId="0" borderId="11" xfId="256" applyFont="1" applyBorder="1"/>
    <xf numFmtId="173" fontId="71" fillId="0" borderId="11" xfId="256" applyNumberFormat="1" applyFont="1" applyFill="1" applyBorder="1"/>
    <xf numFmtId="0" fontId="12" fillId="0" borderId="0" xfId="0" applyFont="1" applyFill="1" applyAlignment="1" applyProtection="1">
      <alignment vertical="top" wrapText="1"/>
    </xf>
    <xf numFmtId="0" fontId="12" fillId="0" borderId="0" xfId="0" applyNumberFormat="1" applyFont="1" applyAlignment="1">
      <alignment horizontal="center"/>
    </xf>
    <xf numFmtId="0" fontId="12" fillId="0" borderId="0" xfId="0" applyFont="1" applyAlignment="1"/>
    <xf numFmtId="0" fontId="12" fillId="0" borderId="0" xfId="0" applyFont="1" applyAlignment="1">
      <alignment horizontal="right"/>
    </xf>
    <xf numFmtId="0" fontId="9" fillId="0" borderId="0" xfId="259" applyFont="1" applyAlignment="1">
      <alignment horizontal="centerContinuous"/>
    </xf>
    <xf numFmtId="0" fontId="12" fillId="0" borderId="0" xfId="259" applyFont="1" applyFill="1" applyAlignment="1">
      <alignment horizontal="left"/>
    </xf>
    <xf numFmtId="0" fontId="9" fillId="0" borderId="0" xfId="259" applyFont="1" applyAlignment="1">
      <alignment horizontal="center"/>
    </xf>
    <xf numFmtId="0" fontId="9" fillId="0" borderId="0" xfId="259" applyFont="1" applyBorder="1" applyAlignment="1">
      <alignment wrapText="1"/>
    </xf>
    <xf numFmtId="0" fontId="12" fillId="0" borderId="32" xfId="0" applyNumberFormat="1" applyFont="1" applyBorder="1" applyAlignment="1">
      <alignment horizontal="center" wrapText="1"/>
    </xf>
    <xf numFmtId="0" fontId="9" fillId="0" borderId="33" xfId="259" applyFont="1" applyBorder="1" applyAlignment="1">
      <alignment horizontal="center" wrapText="1"/>
    </xf>
    <xf numFmtId="0" fontId="9" fillId="0" borderId="0" xfId="259" applyFont="1" applyBorder="1" applyAlignment="1">
      <alignment horizontal="center" wrapText="1"/>
    </xf>
    <xf numFmtId="0" fontId="12" fillId="0" borderId="0" xfId="0" applyFont="1" applyBorder="1" applyAlignment="1">
      <alignment wrapText="1"/>
    </xf>
    <xf numFmtId="0" fontId="12" fillId="0" borderId="0" xfId="0" applyFont="1" applyAlignment="1">
      <alignment wrapText="1"/>
    </xf>
    <xf numFmtId="0" fontId="12" fillId="0" borderId="34" xfId="0" applyNumberFormat="1" applyFont="1" applyBorder="1" applyAlignment="1">
      <alignment horizontal="center"/>
    </xf>
    <xf numFmtId="0" fontId="9" fillId="0" borderId="35" xfId="259" applyFont="1" applyBorder="1" applyAlignment="1">
      <alignment horizontal="center"/>
    </xf>
    <xf numFmtId="0" fontId="9" fillId="0" borderId="0" xfId="259" applyFont="1" applyBorder="1" applyAlignment="1">
      <alignment horizontal="center"/>
    </xf>
    <xf numFmtId="0" fontId="9" fillId="0" borderId="35" xfId="247" applyFont="1" applyFill="1" applyBorder="1" applyAlignment="1">
      <alignment horizontal="center" wrapText="1"/>
    </xf>
    <xf numFmtId="0" fontId="132" fillId="0" borderId="0" xfId="0" applyFont="1" applyAlignment="1"/>
    <xf numFmtId="3" fontId="24" fillId="0" borderId="11" xfId="207" applyNumberFormat="1" applyFont="1" applyFill="1" applyBorder="1" applyAlignment="1">
      <alignment horizontal="center" wrapText="1"/>
    </xf>
    <xf numFmtId="3" fontId="24" fillId="0" borderId="37" xfId="207" applyNumberFormat="1" applyFont="1" applyFill="1" applyBorder="1" applyAlignment="1">
      <alignment horizontal="center" wrapText="1"/>
    </xf>
    <xf numFmtId="0" fontId="12" fillId="0" borderId="35" xfId="259" quotePrefix="1" applyFont="1" applyBorder="1" applyAlignment="1">
      <alignment horizontal="left"/>
    </xf>
    <xf numFmtId="173" fontId="8" fillId="26" borderId="0" xfId="108" applyNumberFormat="1" applyFont="1" applyFill="1" applyAlignment="1" applyProtection="1">
      <protection locked="0"/>
    </xf>
    <xf numFmtId="0" fontId="12" fillId="0" borderId="35" xfId="259" applyFont="1" applyBorder="1"/>
    <xf numFmtId="0" fontId="12" fillId="0" borderId="36" xfId="0" applyNumberFormat="1" applyFont="1" applyBorder="1" applyAlignment="1">
      <alignment horizontal="center"/>
    </xf>
    <xf numFmtId="0" fontId="12" fillId="0" borderId="37" xfId="259" applyFont="1" applyBorder="1"/>
    <xf numFmtId="0" fontId="12" fillId="0" borderId="37" xfId="259" applyFont="1" applyBorder="1" applyAlignment="1">
      <alignment horizontal="right"/>
    </xf>
    <xf numFmtId="173" fontId="12" fillId="0" borderId="14" xfId="88" applyNumberFormat="1" applyFont="1" applyBorder="1"/>
    <xf numFmtId="173" fontId="12" fillId="0" borderId="41" xfId="88" applyNumberFormat="1" applyFont="1" applyBorder="1"/>
    <xf numFmtId="0" fontId="12" fillId="0" borderId="0" xfId="259" applyFont="1"/>
    <xf numFmtId="37" fontId="12" fillId="0" borderId="0" xfId="259" applyNumberFormat="1" applyFont="1"/>
    <xf numFmtId="172" fontId="12" fillId="0" borderId="0" xfId="252" applyFont="1" applyAlignment="1"/>
    <xf numFmtId="0" fontId="9" fillId="0" borderId="35" xfId="259" applyFont="1" applyBorder="1" applyAlignment="1">
      <alignment horizontal="center" wrapText="1"/>
    </xf>
    <xf numFmtId="0" fontId="12" fillId="0" borderId="16" xfId="0" applyNumberFormat="1" applyFont="1" applyBorder="1" applyAlignment="1">
      <alignment horizontal="center"/>
    </xf>
    <xf numFmtId="0" fontId="12" fillId="0" borderId="42" xfId="259" applyFont="1" applyBorder="1" applyAlignment="1">
      <alignment horizontal="right"/>
    </xf>
    <xf numFmtId="0" fontId="12" fillId="0" borderId="32" xfId="0" applyNumberFormat="1" applyFont="1" applyBorder="1" applyAlignment="1">
      <alignment horizontal="center"/>
    </xf>
    <xf numFmtId="0" fontId="9" fillId="0" borderId="2" xfId="259" applyFont="1" applyBorder="1" applyAlignment="1">
      <alignment horizontal="centerContinuous" wrapText="1"/>
    </xf>
    <xf numFmtId="0" fontId="12" fillId="0" borderId="32" xfId="0" applyFont="1" applyBorder="1" applyAlignment="1"/>
    <xf numFmtId="0" fontId="12" fillId="0" borderId="2" xfId="0" applyFont="1" applyBorder="1" applyAlignment="1"/>
    <xf numFmtId="0" fontId="12" fillId="0" borderId="34" xfId="0" applyNumberFormat="1" applyFont="1" applyBorder="1" applyAlignment="1">
      <alignment horizontal="center" wrapText="1"/>
    </xf>
    <xf numFmtId="0" fontId="9" fillId="0" borderId="34" xfId="259" applyFont="1" applyBorder="1" applyAlignment="1">
      <alignment horizontal="center" wrapText="1"/>
    </xf>
    <xf numFmtId="0" fontId="9" fillId="0" borderId="34" xfId="259" applyFont="1" applyBorder="1" applyAlignment="1">
      <alignment horizontal="center"/>
    </xf>
    <xf numFmtId="3" fontId="12" fillId="0" borderId="36" xfId="207" applyNumberFormat="1" applyFont="1" applyFill="1" applyBorder="1" applyAlignment="1">
      <alignment horizontal="center" wrapText="1"/>
    </xf>
    <xf numFmtId="3" fontId="12" fillId="0" borderId="11" xfId="207" applyNumberFormat="1" applyFont="1" applyFill="1" applyBorder="1" applyAlignment="1">
      <alignment horizontal="center" wrapText="1"/>
    </xf>
    <xf numFmtId="0" fontId="12" fillId="0" borderId="0" xfId="259" quotePrefix="1" applyFont="1" applyBorder="1" applyAlignment="1">
      <alignment horizontal="left"/>
    </xf>
    <xf numFmtId="173" fontId="8" fillId="26" borderId="34" xfId="108" applyNumberFormat="1" applyFont="1" applyFill="1" applyBorder="1" applyAlignment="1" applyProtection="1">
      <protection locked="0"/>
    </xf>
    <xf numFmtId="0" fontId="12" fillId="0" borderId="0" xfId="259" applyFont="1" applyBorder="1"/>
    <xf numFmtId="0" fontId="12" fillId="0" borderId="11" xfId="259" applyFont="1" applyBorder="1"/>
    <xf numFmtId="173" fontId="8" fillId="26" borderId="36" xfId="108" applyNumberFormat="1" applyFont="1" applyFill="1" applyBorder="1" applyAlignment="1" applyProtection="1">
      <protection locked="0"/>
    </xf>
    <xf numFmtId="0" fontId="12" fillId="0" borderId="14" xfId="0" applyNumberFormat="1" applyFont="1" applyBorder="1" applyAlignment="1">
      <alignment horizontal="center"/>
    </xf>
    <xf numFmtId="173" fontId="12" fillId="0" borderId="43" xfId="88" applyNumberFormat="1" applyFont="1" applyBorder="1"/>
    <xf numFmtId="173" fontId="12" fillId="0" borderId="0" xfId="0" applyNumberFormat="1" applyFont="1" applyAlignment="1"/>
    <xf numFmtId="0" fontId="132" fillId="0" borderId="0" xfId="0" applyNumberFormat="1" applyFont="1" applyAlignment="1">
      <alignment horizontal="center"/>
    </xf>
    <xf numFmtId="0" fontId="17" fillId="0" borderId="0" xfId="207" applyFont="1" applyFill="1" applyBorder="1" applyAlignment="1">
      <alignment horizontal="left" vertical="center"/>
    </xf>
    <xf numFmtId="0" fontId="12" fillId="0" borderId="0" xfId="207" applyNumberFormat="1" applyFont="1" applyFill="1" applyBorder="1" applyAlignment="1">
      <alignment horizontal="center"/>
    </xf>
    <xf numFmtId="0" fontId="17" fillId="0" borderId="0" xfId="207" applyFont="1" applyBorder="1" applyAlignment="1">
      <alignment horizontal="center" vertical="center"/>
    </xf>
    <xf numFmtId="0" fontId="17" fillId="0" borderId="0" xfId="248" applyFont="1" applyAlignment="1">
      <alignment horizontal="center" vertical="center" wrapText="1"/>
    </xf>
    <xf numFmtId="0" fontId="17" fillId="0" borderId="0" xfId="207" quotePrefix="1" applyFont="1" applyBorder="1" applyAlignment="1">
      <alignment horizontal="center" vertical="center" wrapText="1"/>
    </xf>
    <xf numFmtId="0" fontId="17" fillId="0" borderId="0" xfId="207" applyFont="1" applyFill="1" applyBorder="1" applyAlignment="1">
      <alignment horizontal="left"/>
    </xf>
    <xf numFmtId="0" fontId="12" fillId="0" borderId="0" xfId="207" applyFont="1" applyFill="1" applyBorder="1" applyAlignment="1">
      <alignment horizontal="center"/>
    </xf>
    <xf numFmtId="3" fontId="12" fillId="0" borderId="0" xfId="207" applyNumberFormat="1" applyFont="1" applyFill="1" applyBorder="1" applyAlignment="1"/>
    <xf numFmtId="173" fontId="0" fillId="0" borderId="0" xfId="108" applyNumberFormat="1" applyFont="1" applyFill="1"/>
    <xf numFmtId="0" fontId="9" fillId="0" borderId="0" xfId="207" applyFont="1" applyFill="1" applyBorder="1" applyAlignment="1">
      <alignment horizontal="left"/>
    </xf>
    <xf numFmtId="0" fontId="12" fillId="0" borderId="0" xfId="207" applyFont="1" applyFill="1" applyBorder="1"/>
    <xf numFmtId="3" fontId="12" fillId="0" borderId="0" xfId="207" applyNumberFormat="1" applyFont="1" applyFill="1" applyBorder="1" applyAlignment="1">
      <alignment horizontal="right"/>
    </xf>
    <xf numFmtId="3" fontId="12" fillId="32" borderId="0" xfId="207" applyNumberFormat="1" applyFont="1" applyFill="1" applyBorder="1" applyAlignment="1"/>
    <xf numFmtId="0" fontId="12" fillId="0" borderId="0" xfId="207" applyFont="1" applyBorder="1"/>
    <xf numFmtId="173" fontId="8" fillId="30" borderId="11" xfId="89" applyNumberFormat="1" applyFont="1" applyFill="1" applyBorder="1" applyAlignment="1" applyProtection="1">
      <alignment horizontal="right"/>
      <protection locked="0"/>
    </xf>
    <xf numFmtId="173" fontId="0" fillId="0" borderId="11" xfId="108" applyNumberFormat="1" applyFont="1" applyFill="1" applyBorder="1"/>
    <xf numFmtId="173" fontId="12" fillId="0" borderId="0" xfId="207" applyNumberFormat="1" applyFont="1" applyFill="1" applyBorder="1"/>
    <xf numFmtId="0" fontId="81" fillId="0" borderId="0" xfId="207" applyNumberFormat="1" applyFont="1" applyFill="1" applyBorder="1" applyAlignment="1">
      <alignment horizontal="center"/>
    </xf>
    <xf numFmtId="0" fontId="12" fillId="0" borderId="0" xfId="248" applyFont="1" applyFill="1" applyAlignment="1">
      <alignment horizontal="left"/>
    </xf>
    <xf numFmtId="0" fontId="97" fillId="0" borderId="0" xfId="248" applyFont="1" applyFill="1" applyBorder="1"/>
    <xf numFmtId="0" fontId="17" fillId="0" borderId="0" xfId="248" applyFont="1" applyFill="1" applyAlignment="1">
      <alignment horizontal="center"/>
    </xf>
    <xf numFmtId="0" fontId="12" fillId="0" borderId="0" xfId="0" applyFont="1" applyFill="1" applyAlignment="1"/>
    <xf numFmtId="0" fontId="12" fillId="0" borderId="0" xfId="0" applyFont="1" applyFill="1" applyAlignment="1">
      <alignment horizontal="center"/>
    </xf>
    <xf numFmtId="173" fontId="63" fillId="0" borderId="0" xfId="108" applyNumberFormat="1" applyFont="1" applyFill="1" applyAlignment="1" applyProtection="1">
      <alignment horizontal="left"/>
      <protection locked="0"/>
    </xf>
    <xf numFmtId="0" fontId="12" fillId="0" borderId="0" xfId="0" applyFont="1" applyFill="1" applyBorder="1" applyAlignment="1">
      <alignment horizontal="center"/>
    </xf>
    <xf numFmtId="173" fontId="63" fillId="0" borderId="11" xfId="108" applyNumberFormat="1" applyFont="1" applyFill="1" applyBorder="1" applyAlignment="1" applyProtection="1">
      <alignment horizontal="left"/>
      <protection locked="0"/>
    </xf>
    <xf numFmtId="0" fontId="0" fillId="0" borderId="0" xfId="0" applyFill="1" applyAlignment="1">
      <alignment horizontal="center"/>
    </xf>
    <xf numFmtId="0" fontId="12" fillId="0" borderId="0" xfId="0" applyFont="1" applyFill="1"/>
    <xf numFmtId="0" fontId="12" fillId="0" borderId="0" xfId="207" applyFont="1" applyFill="1" applyBorder="1" applyAlignment="1">
      <alignment horizontal="left"/>
    </xf>
    <xf numFmtId="43" fontId="5" fillId="0" borderId="6" xfId="255" applyNumberFormat="1" applyFont="1" applyFill="1" applyBorder="1" applyAlignment="1" applyProtection="1"/>
    <xf numFmtId="0" fontId="12" fillId="0" borderId="33" xfId="0" applyFont="1" applyBorder="1" applyAlignment="1"/>
    <xf numFmtId="3" fontId="12" fillId="0" borderId="37" xfId="207" applyNumberFormat="1" applyFont="1" applyFill="1" applyBorder="1" applyAlignment="1">
      <alignment horizontal="center" wrapText="1"/>
    </xf>
    <xf numFmtId="173" fontId="8" fillId="30" borderId="35" xfId="89" applyNumberFormat="1" applyFont="1" applyFill="1" applyBorder="1" applyAlignment="1">
      <alignment horizontal="right"/>
    </xf>
    <xf numFmtId="0" fontId="12" fillId="0" borderId="0" xfId="162" applyNumberFormat="1" applyFont="1" applyAlignment="1">
      <alignment horizontal="center"/>
    </xf>
    <xf numFmtId="0" fontId="15" fillId="0" borderId="0" xfId="162" applyFont="1" applyAlignment="1"/>
    <xf numFmtId="0" fontId="15" fillId="0" borderId="0" xfId="162" applyNumberFormat="1" applyFont="1" applyAlignment="1">
      <alignment horizontal="center"/>
    </xf>
    <xf numFmtId="0" fontId="15" fillId="0" borderId="0" xfId="162" applyFont="1" applyAlignment="1">
      <alignment horizontal="right"/>
    </xf>
    <xf numFmtId="0" fontId="91" fillId="0" borderId="0" xfId="259" applyFont="1" applyAlignment="1">
      <alignment horizontal="centerContinuous"/>
    </xf>
    <xf numFmtId="0" fontId="15" fillId="0" borderId="0" xfId="259" applyFont="1" applyFill="1" applyAlignment="1">
      <alignment horizontal="left"/>
    </xf>
    <xf numFmtId="0" fontId="91" fillId="0" borderId="0" xfId="259" applyFont="1" applyAlignment="1">
      <alignment horizontal="center"/>
    </xf>
    <xf numFmtId="0" fontId="12" fillId="0" borderId="0" xfId="162" applyFont="1"/>
    <xf numFmtId="0" fontId="12" fillId="0" borderId="32" xfId="162" applyNumberFormat="1" applyFont="1" applyBorder="1" applyAlignment="1">
      <alignment horizontal="center" wrapText="1"/>
    </xf>
    <xf numFmtId="0" fontId="9" fillId="0" borderId="44" xfId="259" applyFont="1" applyBorder="1" applyAlignment="1">
      <alignment horizontal="center" wrapText="1"/>
    </xf>
    <xf numFmtId="0" fontId="15" fillId="0" borderId="0" xfId="162" applyFont="1" applyAlignment="1">
      <alignment wrapText="1"/>
    </xf>
    <xf numFmtId="0" fontId="12" fillId="0" borderId="34" xfId="162" applyNumberFormat="1" applyFont="1" applyBorder="1" applyAlignment="1">
      <alignment horizontal="center"/>
    </xf>
    <xf numFmtId="0" fontId="9" fillId="0" borderId="10" xfId="259" applyFont="1" applyBorder="1" applyAlignment="1">
      <alignment horizontal="center"/>
    </xf>
    <xf numFmtId="0" fontId="134" fillId="0" borderId="0" xfId="162" applyFont="1" applyAlignment="1"/>
    <xf numFmtId="3" fontId="24" fillId="0" borderId="36" xfId="207" applyNumberFormat="1" applyFont="1" applyFill="1" applyBorder="1" applyAlignment="1">
      <alignment horizontal="center" wrapText="1"/>
    </xf>
    <xf numFmtId="3" fontId="24" fillId="0" borderId="45" xfId="207" applyNumberFormat="1" applyFont="1" applyFill="1" applyBorder="1" applyAlignment="1">
      <alignment wrapText="1"/>
    </xf>
    <xf numFmtId="173" fontId="8" fillId="26" borderId="0" xfId="107" applyNumberFormat="1" applyFont="1" applyFill="1" applyAlignment="1" applyProtection="1">
      <protection locked="0"/>
    </xf>
    <xf numFmtId="41" fontId="12" fillId="0" borderId="10" xfId="259" applyNumberFormat="1" applyFont="1" applyFill="1" applyBorder="1"/>
    <xf numFmtId="0" fontId="12" fillId="0" borderId="36" xfId="162" applyNumberFormat="1" applyFont="1" applyBorder="1" applyAlignment="1">
      <alignment horizontal="center"/>
    </xf>
    <xf numFmtId="173" fontId="12" fillId="0" borderId="46" xfId="88" applyNumberFormat="1" applyFont="1" applyBorder="1"/>
    <xf numFmtId="3" fontId="24" fillId="0" borderId="45" xfId="207" applyNumberFormat="1" applyFont="1" applyFill="1" applyBorder="1" applyAlignment="1">
      <alignment horizontal="center" wrapText="1"/>
    </xf>
    <xf numFmtId="173" fontId="8" fillId="30" borderId="0" xfId="88" applyNumberFormat="1" applyFont="1" applyFill="1" applyBorder="1" applyProtection="1">
      <protection locked="0"/>
    </xf>
    <xf numFmtId="0" fontId="12" fillId="0" borderId="16" xfId="162" applyNumberFormat="1" applyFont="1" applyBorder="1" applyAlignment="1">
      <alignment horizontal="center"/>
    </xf>
    <xf numFmtId="0" fontId="15" fillId="0" borderId="0" xfId="259" applyFont="1"/>
    <xf numFmtId="37" fontId="15" fillId="0" borderId="0" xfId="259" applyNumberFormat="1" applyFont="1"/>
    <xf numFmtId="172" fontId="15" fillId="0" borderId="0" xfId="252" applyFont="1" applyAlignment="1"/>
    <xf numFmtId="0" fontId="12" fillId="0" borderId="0" xfId="249" applyFont="1" applyFill="1" applyAlignment="1" applyProtection="1">
      <alignment vertical="top"/>
    </xf>
    <xf numFmtId="0" fontId="12" fillId="0" borderId="0" xfId="162" applyFont="1" applyAlignment="1" applyProtection="1">
      <alignment vertical="top" wrapText="1"/>
    </xf>
    <xf numFmtId="0" fontId="134" fillId="0" borderId="0" xfId="162" applyNumberFormat="1" applyFont="1" applyAlignment="1">
      <alignment horizontal="center"/>
    </xf>
    <xf numFmtId="0" fontId="90" fillId="0" borderId="0" xfId="250" applyFont="1" applyFill="1" applyProtection="1"/>
    <xf numFmtId="0" fontId="91" fillId="0" borderId="0" xfId="162" applyFont="1" applyAlignment="1">
      <alignment horizontal="center"/>
    </xf>
    <xf numFmtId="0" fontId="91" fillId="0" borderId="0" xfId="162" quotePrefix="1" applyFont="1" applyAlignment="1">
      <alignment horizontal="center"/>
    </xf>
    <xf numFmtId="0" fontId="9" fillId="0" borderId="0" xfId="250" applyFont="1" applyFill="1" applyAlignment="1" applyProtection="1">
      <alignment horizontal="left"/>
    </xf>
    <xf numFmtId="173" fontId="12" fillId="0" borderId="0" xfId="88" applyNumberFormat="1" applyFont="1" applyFill="1" applyProtection="1"/>
    <xf numFmtId="0" fontId="12" fillId="0" borderId="0" xfId="250" applyFont="1" applyFill="1" applyProtection="1"/>
    <xf numFmtId="0" fontId="12" fillId="0" borderId="0" xfId="181"/>
    <xf numFmtId="0" fontId="12" fillId="0" borderId="0" xfId="250" applyFont="1" applyFill="1" applyAlignment="1" applyProtection="1">
      <alignment horizontal="left"/>
    </xf>
    <xf numFmtId="173" fontId="8" fillId="30" borderId="0" xfId="88" applyNumberFormat="1" applyFont="1" applyFill="1" applyProtection="1">
      <protection locked="0"/>
    </xf>
    <xf numFmtId="0" fontId="12" fillId="0" borderId="0" xfId="181" applyProtection="1"/>
    <xf numFmtId="10" fontId="12" fillId="0" borderId="0" xfId="268" applyNumberFormat="1" applyFont="1" applyFill="1" applyBorder="1" applyProtection="1"/>
    <xf numFmtId="173" fontId="8" fillId="26" borderId="6" xfId="88" applyNumberFormat="1" applyFont="1" applyFill="1" applyBorder="1" applyAlignment="1" applyProtection="1">
      <protection locked="0"/>
    </xf>
    <xf numFmtId="10" fontId="9" fillId="0" borderId="0" xfId="268" applyNumberFormat="1" applyFont="1" applyFill="1" applyBorder="1" applyProtection="1"/>
    <xf numFmtId="0" fontId="9" fillId="0" borderId="0" xfId="250" applyFont="1" applyFill="1" applyProtection="1"/>
    <xf numFmtId="173" fontId="9" fillId="0" borderId="0" xfId="268" applyNumberFormat="1" applyFont="1" applyFill="1" applyBorder="1" applyProtection="1"/>
    <xf numFmtId="173" fontId="12" fillId="0" borderId="0" xfId="268" applyNumberFormat="1" applyFont="1" applyFill="1" applyBorder="1" applyProtection="1"/>
    <xf numFmtId="10" fontId="9" fillId="0" borderId="18" xfId="268" applyNumberFormat="1" applyFont="1" applyFill="1" applyBorder="1" applyProtection="1"/>
    <xf numFmtId="0" fontId="100" fillId="0" borderId="0" xfId="181" applyFont="1" applyAlignment="1" applyProtection="1">
      <alignment horizontal="center"/>
    </xf>
    <xf numFmtId="0" fontId="12" fillId="0" borderId="0" xfId="255" applyNumberFormat="1" applyFont="1" applyFill="1" applyBorder="1" applyAlignment="1" applyProtection="1">
      <alignment horizontal="center" vertical="center"/>
    </xf>
    <xf numFmtId="0" fontId="135" fillId="0" borderId="0" xfId="181" applyFont="1" applyProtection="1"/>
    <xf numFmtId="0" fontId="12" fillId="0" borderId="0" xfId="255" applyNumberFormat="1" applyFont="1" applyFill="1" applyBorder="1" applyAlignment="1" applyProtection="1">
      <alignment horizontal="center" vertical="top"/>
    </xf>
    <xf numFmtId="0" fontId="63" fillId="0" borderId="0" xfId="181" applyFont="1" applyAlignment="1" applyProtection="1">
      <alignment vertical="top" wrapText="1"/>
    </xf>
    <xf numFmtId="0" fontId="9" fillId="0" borderId="0" xfId="255" applyNumberFormat="1" applyFont="1" applyFill="1" applyBorder="1" applyAlignment="1" applyProtection="1">
      <alignment horizontal="center" vertical="center"/>
    </xf>
    <xf numFmtId="0" fontId="22" fillId="0" borderId="0" xfId="181" applyFont="1" applyAlignment="1" applyProtection="1"/>
    <xf numFmtId="41" fontId="9" fillId="0" borderId="0" xfId="250" applyNumberFormat="1" applyFont="1" applyFill="1" applyBorder="1" applyAlignment="1" applyProtection="1">
      <alignment horizontal="center" wrapText="1"/>
    </xf>
    <xf numFmtId="0" fontId="9" fillId="0" borderId="0" xfId="250" applyFont="1" applyFill="1" applyAlignment="1" applyProtection="1">
      <alignment horizontal="center" wrapText="1"/>
    </xf>
    <xf numFmtId="0" fontId="8" fillId="26" borderId="0" xfId="250" applyFont="1" applyFill="1" applyProtection="1">
      <protection locked="0"/>
    </xf>
    <xf numFmtId="173" fontId="136" fillId="26" borderId="0" xfId="88" applyNumberFormat="1" applyFont="1" applyFill="1" applyProtection="1">
      <protection locked="0"/>
    </xf>
    <xf numFmtId="197" fontId="12" fillId="0" borderId="0" xfId="257" applyNumberFormat="1" applyFont="1" applyFill="1" applyAlignment="1" applyProtection="1">
      <alignment horizontal="center"/>
      <protection locked="0"/>
    </xf>
    <xf numFmtId="37" fontId="8" fillId="26" borderId="0" xfId="250" applyNumberFormat="1" applyFont="1" applyFill="1" applyProtection="1">
      <protection locked="0"/>
    </xf>
    <xf numFmtId="0" fontId="136" fillId="26" borderId="0" xfId="250" applyFont="1" applyFill="1" applyProtection="1">
      <protection locked="0"/>
    </xf>
    <xf numFmtId="198" fontId="12" fillId="0" borderId="0" xfId="257" applyNumberFormat="1" applyFill="1" applyAlignment="1" applyProtection="1">
      <alignment horizontal="center"/>
      <protection locked="0"/>
    </xf>
    <xf numFmtId="14" fontId="12" fillId="0" borderId="0" xfId="257" applyNumberFormat="1" applyFill="1" applyAlignment="1" applyProtection="1">
      <alignment horizontal="center"/>
      <protection locked="0"/>
    </xf>
    <xf numFmtId="0" fontId="12" fillId="0" borderId="0" xfId="181" applyFont="1" applyProtection="1"/>
    <xf numFmtId="0" fontId="12" fillId="0" borderId="11" xfId="181" applyFont="1" applyBorder="1" applyProtection="1"/>
    <xf numFmtId="0" fontId="15" fillId="0" borderId="11" xfId="250" applyFont="1" applyFill="1" applyBorder="1" applyProtection="1"/>
    <xf numFmtId="0" fontId="12" fillId="0" borderId="0" xfId="181" applyFill="1"/>
    <xf numFmtId="0" fontId="9" fillId="0" borderId="2" xfId="250" applyFont="1" applyFill="1" applyBorder="1" applyAlignment="1" applyProtection="1">
      <alignment horizontal="left"/>
    </xf>
    <xf numFmtId="173" fontId="12" fillId="0" borderId="2" xfId="268" applyNumberFormat="1" applyFont="1" applyFill="1" applyBorder="1" applyProtection="1"/>
    <xf numFmtId="173" fontId="9" fillId="0" borderId="0" xfId="88" applyNumberFormat="1" applyFont="1" applyFill="1" applyBorder="1" applyProtection="1"/>
    <xf numFmtId="0" fontId="90" fillId="0" borderId="0" xfId="250" applyFont="1" applyFill="1" applyAlignment="1" applyProtection="1">
      <alignment horizontal="left"/>
    </xf>
    <xf numFmtId="0" fontId="12" fillId="0" borderId="0" xfId="255" applyNumberFormat="1" applyFont="1" applyFill="1" applyBorder="1" applyAlignment="1" applyProtection="1">
      <alignment horizontal="center" wrapText="1"/>
    </xf>
    <xf numFmtId="173" fontId="15" fillId="0" borderId="0" xfId="162" applyNumberFormat="1" applyFont="1" applyAlignment="1"/>
    <xf numFmtId="0" fontId="12" fillId="0" borderId="0" xfId="250" applyFont="1" applyFill="1" applyBorder="1" applyProtection="1"/>
    <xf numFmtId="0" fontId="15" fillId="0" borderId="2" xfId="162" applyNumberFormat="1" applyFont="1" applyBorder="1" applyAlignment="1"/>
    <xf numFmtId="0" fontId="32" fillId="0" borderId="0" xfId="0" applyFont="1" applyFill="1" applyAlignment="1" applyProtection="1">
      <alignment horizontal="center"/>
    </xf>
    <xf numFmtId="168" fontId="5" fillId="0" borderId="0" xfId="255" applyNumberFormat="1" applyFont="1" applyFill="1" applyAlignment="1" applyProtection="1"/>
    <xf numFmtId="188" fontId="5" fillId="0" borderId="0" xfId="255" applyNumberFormat="1" applyFont="1" applyFill="1" applyAlignment="1" applyProtection="1">
      <alignment horizontal="center"/>
    </xf>
    <xf numFmtId="41" fontId="5" fillId="0" borderId="11" xfId="255" applyNumberFormat="1" applyFont="1" applyFill="1" applyBorder="1" applyAlignment="1" applyProtection="1"/>
    <xf numFmtId="0" fontId="5" fillId="0" borderId="0" xfId="162" applyFont="1" applyFill="1" applyAlignment="1" applyProtection="1">
      <alignment horizontal="center"/>
    </xf>
    <xf numFmtId="0" fontId="63" fillId="0" borderId="0" xfId="162" applyFont="1" applyFill="1" applyProtection="1"/>
    <xf numFmtId="0" fontId="5" fillId="0" borderId="0" xfId="162" applyFont="1" applyFill="1" applyProtection="1"/>
    <xf numFmtId="0" fontId="12" fillId="0" borderId="0" xfId="162" applyFont="1" applyFill="1" applyProtection="1"/>
    <xf numFmtId="173" fontId="5" fillId="32" borderId="0" xfId="86" applyNumberFormat="1" applyFont="1" applyFill="1" applyAlignment="1" applyProtection="1">
      <alignment horizontal="right"/>
    </xf>
    <xf numFmtId="179" fontId="5" fillId="0" borderId="0" xfId="255" applyNumberFormat="1" applyFont="1" applyFill="1" applyAlignment="1" applyProtection="1">
      <alignment horizontal="center"/>
    </xf>
    <xf numFmtId="0" fontId="63" fillId="0" borderId="0" xfId="248" applyFont="1" applyFill="1" applyAlignment="1">
      <alignment horizontal="center"/>
    </xf>
    <xf numFmtId="37" fontId="12" fillId="0" borderId="0" xfId="162" applyNumberFormat="1" applyFont="1"/>
    <xf numFmtId="0" fontId="9" fillId="0" borderId="0" xfId="248" applyFont="1" applyFill="1" applyBorder="1"/>
    <xf numFmtId="0" fontId="12" fillId="0" borderId="0" xfId="162" applyFont="1" applyFill="1"/>
    <xf numFmtId="0" fontId="12" fillId="0" borderId="0" xfId="0" applyFont="1" applyFill="1" applyAlignment="1" applyProtection="1">
      <alignment horizontal="left"/>
    </xf>
    <xf numFmtId="0" fontId="13" fillId="0" borderId="0" xfId="0" applyFont="1" applyFill="1" applyAlignment="1" applyProtection="1">
      <alignment horizontal="left"/>
    </xf>
    <xf numFmtId="0" fontId="12" fillId="0" borderId="0" xfId="0" applyFont="1" applyFill="1" applyAlignment="1" applyProtection="1">
      <alignment horizontal="center"/>
    </xf>
    <xf numFmtId="0" fontId="9" fillId="0" borderId="0" xfId="261" applyFont="1" applyFill="1" applyProtection="1"/>
    <xf numFmtId="0" fontId="12" fillId="0" borderId="0" xfId="261" applyFont="1" applyFill="1" applyProtection="1"/>
    <xf numFmtId="0" fontId="12" fillId="0" borderId="0" xfId="0" applyFont="1" applyFill="1" applyAlignment="1" applyProtection="1">
      <alignment vertical="top"/>
    </xf>
    <xf numFmtId="41" fontId="19" fillId="0" borderId="0" xfId="248" applyNumberFormat="1" applyFont="1" applyFill="1" applyBorder="1" applyProtection="1">
      <protection locked="0"/>
    </xf>
    <xf numFmtId="0" fontId="6" fillId="0" borderId="0" xfId="248" applyFont="1" applyFill="1" applyBorder="1"/>
    <xf numFmtId="0" fontId="18" fillId="0" borderId="0" xfId="256" applyNumberFormat="1" applyFont="1" applyFill="1" applyAlignment="1">
      <alignment horizontal="center"/>
    </xf>
    <xf numFmtId="0" fontId="18" fillId="0" borderId="0" xfId="256" applyNumberFormat="1" applyFont="1" applyFill="1"/>
    <xf numFmtId="0" fontId="73" fillId="0" borderId="0" xfId="256" applyFont="1" applyFill="1" applyAlignment="1">
      <alignment wrapText="1"/>
    </xf>
    <xf numFmtId="0" fontId="6" fillId="0" borderId="0" xfId="249" applyFont="1" applyFill="1" applyAlignment="1">
      <alignment horizontal="center"/>
    </xf>
    <xf numFmtId="0" fontId="6" fillId="0" borderId="0" xfId="249" applyFont="1" applyFill="1" applyBorder="1" applyAlignment="1">
      <alignment horizontal="center"/>
    </xf>
    <xf numFmtId="0" fontId="6" fillId="0" borderId="0" xfId="249" quotePrefix="1" applyFont="1" applyFill="1" applyBorder="1" applyAlignment="1">
      <alignment horizontal="center"/>
    </xf>
    <xf numFmtId="0" fontId="6" fillId="0" borderId="0" xfId="249" applyFont="1" applyFill="1" applyAlignment="1">
      <alignment horizontal="left" vertical="center" wrapText="1"/>
    </xf>
    <xf numFmtId="0" fontId="6" fillId="0" borderId="0" xfId="249" applyFont="1" applyFill="1" applyAlignment="1">
      <alignment horizontal="center" vertical="center" wrapText="1"/>
    </xf>
    <xf numFmtId="0" fontId="6" fillId="0" borderId="0" xfId="249" applyFont="1" applyFill="1" applyBorder="1" applyAlignment="1">
      <alignment horizontal="center" vertical="center" wrapText="1"/>
    </xf>
    <xf numFmtId="0" fontId="6" fillId="0" borderId="0" xfId="249" quotePrefix="1" applyFont="1" applyFill="1" applyBorder="1" applyAlignment="1">
      <alignment horizontal="center" vertical="center" wrapText="1"/>
    </xf>
    <xf numFmtId="0" fontId="12" fillId="0" borderId="0" xfId="256" applyNumberFormat="1" applyFont="1" applyFill="1" applyAlignment="1">
      <alignment horizontal="center"/>
    </xf>
    <xf numFmtId="185" fontId="12" fillId="0" borderId="0" xfId="256" applyNumberFormat="1" applyFont="1" applyFill="1"/>
    <xf numFmtId="0" fontId="12" fillId="0" borderId="0" xfId="251" applyFont="1" applyFill="1" applyAlignment="1" applyProtection="1">
      <alignment horizontal="left"/>
    </xf>
    <xf numFmtId="0" fontId="12" fillId="0" borderId="0" xfId="181" applyFont="1" applyFill="1" applyProtection="1"/>
    <xf numFmtId="0" fontId="5" fillId="32" borderId="0" xfId="255" applyNumberFormat="1" applyFont="1" applyFill="1" applyAlignment="1" applyProtection="1">
      <alignment vertical="top" wrapText="1"/>
    </xf>
    <xf numFmtId="0" fontId="138" fillId="0" borderId="0" xfId="0" applyFont="1" applyAlignment="1">
      <alignment vertical="center"/>
    </xf>
    <xf numFmtId="0" fontId="139" fillId="0" borderId="0" xfId="207" applyFont="1" applyProtection="1"/>
    <xf numFmtId="0" fontId="140" fillId="0" borderId="0" xfId="207" applyFont="1" applyBorder="1" applyAlignment="1" applyProtection="1">
      <alignment horizontal="center"/>
    </xf>
    <xf numFmtId="3" fontId="141" fillId="0" borderId="0" xfId="207" applyNumberFormat="1" applyFont="1" applyAlignment="1" applyProtection="1">
      <alignment horizontal="center"/>
    </xf>
    <xf numFmtId="0" fontId="139" fillId="0" borderId="0" xfId="0" applyFont="1" applyAlignment="1" applyProtection="1"/>
    <xf numFmtId="0" fontId="142" fillId="0" borderId="0" xfId="207" applyFont="1" applyProtection="1"/>
    <xf numFmtId="0" fontId="141" fillId="0" borderId="0" xfId="207" applyFont="1" applyAlignment="1" applyProtection="1">
      <alignment horizontal="center"/>
    </xf>
    <xf numFmtId="0" fontId="140" fillId="0" borderId="0" xfId="206" applyFont="1" applyFill="1" applyProtection="1"/>
    <xf numFmtId="0" fontId="141" fillId="0" borderId="0" xfId="207" applyFont="1" applyFill="1" applyBorder="1" applyAlignment="1" applyProtection="1">
      <alignment horizontal="center"/>
    </xf>
    <xf numFmtId="0" fontId="140" fillId="0" borderId="0" xfId="207" applyFont="1" applyProtection="1"/>
    <xf numFmtId="0" fontId="143" fillId="0" borderId="0" xfId="207" applyFont="1" applyBorder="1" applyAlignment="1" applyProtection="1">
      <alignment horizontal="left"/>
    </xf>
    <xf numFmtId="0" fontId="140" fillId="0" borderId="0" xfId="207" applyFont="1" applyBorder="1" applyAlignment="1" applyProtection="1"/>
    <xf numFmtId="0" fontId="140" fillId="0" borderId="0" xfId="207" applyFont="1" applyBorder="1" applyProtection="1"/>
    <xf numFmtId="0" fontId="143" fillId="0" borderId="0" xfId="207" applyFont="1" applyFill="1" applyBorder="1" applyProtection="1"/>
    <xf numFmtId="3" fontId="140" fillId="0" borderId="0" xfId="207" applyNumberFormat="1" applyFont="1" applyFill="1" applyBorder="1" applyAlignment="1" applyProtection="1"/>
    <xf numFmtId="1" fontId="144" fillId="0" borderId="0" xfId="207" applyNumberFormat="1" applyFont="1" applyFill="1" applyBorder="1" applyAlignment="1" applyProtection="1">
      <alignment horizontal="center"/>
    </xf>
    <xf numFmtId="172" fontId="140" fillId="0" borderId="0" xfId="254" applyFont="1" applyBorder="1" applyAlignment="1" applyProtection="1"/>
    <xf numFmtId="6" fontId="139" fillId="0" borderId="0" xfId="207" applyNumberFormat="1" applyFont="1" applyProtection="1"/>
    <xf numFmtId="0" fontId="145" fillId="0" borderId="0" xfId="207" applyFont="1" applyProtection="1"/>
    <xf numFmtId="0" fontId="140" fillId="0" borderId="0" xfId="0" applyFont="1" applyBorder="1" applyAlignment="1" applyProtection="1"/>
    <xf numFmtId="172" fontId="140" fillId="0" borderId="0" xfId="254" applyFont="1" applyFill="1" applyBorder="1" applyAlignment="1" applyProtection="1"/>
    <xf numFmtId="0" fontId="140" fillId="0" borderId="6" xfId="207" applyFont="1" applyBorder="1" applyAlignment="1" applyProtection="1">
      <alignment horizontal="center"/>
    </xf>
    <xf numFmtId="0" fontId="140" fillId="0" borderId="6" xfId="0" applyFont="1" applyBorder="1" applyAlignment="1" applyProtection="1"/>
    <xf numFmtId="172" fontId="140" fillId="0" borderId="6" xfId="254" applyFont="1" applyBorder="1" applyAlignment="1" applyProtection="1"/>
    <xf numFmtId="170" fontId="140" fillId="0" borderId="0" xfId="0" applyNumberFormat="1" applyFont="1" applyBorder="1" applyAlignment="1" applyProtection="1"/>
    <xf numFmtId="170" fontId="140" fillId="0" borderId="0" xfId="207" applyNumberFormat="1" applyFont="1" applyBorder="1" applyProtection="1"/>
    <xf numFmtId="0" fontId="139" fillId="0" borderId="0" xfId="207" applyFont="1" applyBorder="1" applyProtection="1"/>
    <xf numFmtId="0" fontId="5" fillId="0" borderId="0" xfId="255" applyNumberFormat="1" applyFont="1" applyFill="1" applyAlignment="1" applyProtection="1">
      <alignment horizontal="left" indent="2"/>
    </xf>
    <xf numFmtId="173" fontId="8" fillId="30" borderId="0" xfId="108" applyNumberFormat="1" applyFont="1" applyFill="1" applyAlignment="1" applyProtection="1">
      <protection locked="0"/>
    </xf>
    <xf numFmtId="173" fontId="8" fillId="30" borderId="34" xfId="108" applyNumberFormat="1" applyFont="1" applyFill="1" applyBorder="1" applyAlignment="1" applyProtection="1">
      <protection locked="0"/>
    </xf>
    <xf numFmtId="173" fontId="8" fillId="30" borderId="0" xfId="107" applyNumberFormat="1" applyFont="1" applyFill="1" applyAlignment="1" applyProtection="1">
      <protection locked="0"/>
    </xf>
    <xf numFmtId="43" fontId="12" fillId="30" borderId="0" xfId="86" applyFont="1" applyFill="1" applyBorder="1" applyProtection="1">
      <protection locked="0"/>
    </xf>
    <xf numFmtId="43" fontId="8" fillId="30" borderId="0" xfId="86" applyFont="1" applyFill="1" applyBorder="1" applyAlignment="1" applyProtection="1">
      <alignment horizontal="right"/>
      <protection locked="0"/>
    </xf>
    <xf numFmtId="43" fontId="8" fillId="30" borderId="11" xfId="86" applyFont="1" applyFill="1" applyBorder="1" applyAlignment="1" applyProtection="1">
      <alignment horizontal="right"/>
      <protection locked="0"/>
    </xf>
    <xf numFmtId="43" fontId="8" fillId="30" borderId="0" xfId="86" applyFont="1" applyFill="1" applyBorder="1" applyAlignment="1" applyProtection="1">
      <alignment horizontal="left"/>
      <protection locked="0"/>
    </xf>
    <xf numFmtId="43" fontId="8" fillId="30" borderId="0" xfId="86" applyFont="1" applyFill="1" applyBorder="1" applyAlignment="1" applyProtection="1">
      <alignment horizontal="center"/>
      <protection locked="0"/>
    </xf>
    <xf numFmtId="0" fontId="123" fillId="0" borderId="29" xfId="0" applyFont="1" applyFill="1" applyBorder="1" applyAlignment="1" applyProtection="1">
      <alignment horizontal="center" wrapText="1"/>
    </xf>
    <xf numFmtId="0" fontId="6" fillId="0" borderId="0" xfId="207" quotePrefix="1" applyFont="1" applyBorder="1" applyAlignment="1">
      <alignment horizontal="center" wrapText="1"/>
    </xf>
    <xf numFmtId="0" fontId="13" fillId="0" borderId="0" xfId="0" applyFont="1" applyAlignment="1">
      <alignment wrapText="1"/>
    </xf>
    <xf numFmtId="170" fontId="146" fillId="0" borderId="0" xfId="0" applyNumberFormat="1" applyFont="1" applyFill="1" applyAlignment="1" applyProtection="1">
      <alignment horizontal="right"/>
    </xf>
    <xf numFmtId="170" fontId="146" fillId="0" borderId="0" xfId="0" applyNumberFormat="1" applyFont="1" applyFill="1" applyAlignment="1" applyProtection="1">
      <alignment horizontal="center"/>
    </xf>
    <xf numFmtId="0" fontId="122" fillId="0" borderId="0" xfId="0" applyNumberFormat="1" applyFont="1" applyFill="1" applyAlignment="1" applyProtection="1">
      <alignment horizontal="center"/>
    </xf>
    <xf numFmtId="0" fontId="122" fillId="0" borderId="0" xfId="0" applyFont="1" applyFill="1" applyAlignment="1" applyProtection="1">
      <alignment wrapText="1"/>
    </xf>
    <xf numFmtId="10" fontId="5" fillId="0" borderId="18" xfId="255" applyNumberFormat="1" applyFont="1" applyFill="1" applyBorder="1" applyAlignment="1" applyProtection="1"/>
    <xf numFmtId="41" fontId="5" fillId="0" borderId="11" xfId="255" applyNumberFormat="1" applyFont="1" applyBorder="1" applyAlignment="1" applyProtection="1"/>
    <xf numFmtId="0" fontId="5" fillId="0" borderId="0" xfId="0" applyFont="1" applyFill="1" applyAlignment="1" applyProtection="1">
      <alignment horizontal="center"/>
    </xf>
    <xf numFmtId="10" fontId="5" fillId="0" borderId="0" xfId="268" applyNumberFormat="1" applyFont="1" applyFill="1" applyAlignment="1" applyProtection="1"/>
    <xf numFmtId="41" fontId="19" fillId="30" borderId="6" xfId="255" applyNumberFormat="1" applyFont="1" applyFill="1" applyBorder="1" applyAlignment="1" applyProtection="1">
      <alignment vertical="center"/>
      <protection locked="0"/>
    </xf>
    <xf numFmtId="0" fontId="12" fillId="0" borderId="34" xfId="162" applyFont="1" applyBorder="1"/>
    <xf numFmtId="193" fontId="63" fillId="30" borderId="0" xfId="162" applyNumberFormat="1" applyFont="1" applyFill="1" applyAlignment="1" applyProtection="1">
      <alignment horizontal="left"/>
      <protection locked="0"/>
    </xf>
    <xf numFmtId="3" fontId="125" fillId="30" borderId="0" xfId="162" applyNumberFormat="1" applyFont="1" applyFill="1" applyAlignment="1" applyProtection="1">
      <protection locked="0"/>
    </xf>
    <xf numFmtId="37" fontId="8" fillId="30" borderId="0" xfId="162" applyNumberFormat="1" applyFont="1" applyFill="1" applyProtection="1">
      <protection locked="0"/>
    </xf>
    <xf numFmtId="193" fontId="63" fillId="30" borderId="0" xfId="162" quotePrefix="1" applyNumberFormat="1" applyFont="1" applyFill="1" applyAlignment="1" applyProtection="1">
      <alignment horizontal="left"/>
      <protection locked="0"/>
    </xf>
    <xf numFmtId="3" fontId="63" fillId="30" borderId="0" xfId="162" applyNumberFormat="1" applyFont="1" applyFill="1" applyProtection="1">
      <protection locked="0"/>
    </xf>
    <xf numFmtId="3" fontId="125" fillId="30" borderId="0" xfId="162" applyNumberFormat="1" applyFont="1" applyFill="1" applyProtection="1">
      <protection locked="0"/>
    </xf>
    <xf numFmtId="3" fontId="63" fillId="30" borderId="0" xfId="162" quotePrefix="1" applyNumberFormat="1" applyFont="1" applyFill="1" applyProtection="1">
      <protection locked="0"/>
    </xf>
    <xf numFmtId="10" fontId="3" fillId="0" borderId="0" xfId="258" applyNumberFormat="1" applyFill="1" applyBorder="1" applyProtection="1"/>
    <xf numFmtId="0" fontId="24" fillId="0" borderId="0" xfId="210" applyFont="1"/>
    <xf numFmtId="0" fontId="24" fillId="0" borderId="0" xfId="210" applyFont="1" applyAlignment="1">
      <alignment horizontal="center"/>
    </xf>
    <xf numFmtId="0" fontId="12" fillId="0" borderId="0" xfId="210" applyFont="1" applyAlignment="1">
      <alignment horizontal="right"/>
    </xf>
    <xf numFmtId="14" fontId="24" fillId="0" borderId="0" xfId="210" applyNumberFormat="1" applyFont="1"/>
    <xf numFmtId="0" fontId="24" fillId="0" borderId="0" xfId="162" applyFont="1"/>
    <xf numFmtId="9" fontId="24" fillId="0" borderId="0" xfId="267" applyFont="1"/>
    <xf numFmtId="41" fontId="24" fillId="0" borderId="0" xfId="210" applyNumberFormat="1" applyFont="1"/>
    <xf numFmtId="10" fontId="24" fillId="0" borderId="0" xfId="269" applyNumberFormat="1" applyFont="1"/>
    <xf numFmtId="0" fontId="24" fillId="0" borderId="0" xfId="0" applyFont="1" applyAlignment="1"/>
    <xf numFmtId="0" fontId="24" fillId="0" borderId="11" xfId="210" applyFont="1" applyBorder="1"/>
    <xf numFmtId="0" fontId="25" fillId="0" borderId="11" xfId="210" applyFont="1" applyBorder="1" applyAlignment="1">
      <alignment horizontal="center"/>
    </xf>
    <xf numFmtId="0" fontId="25" fillId="0" borderId="11" xfId="210" applyFont="1" applyBorder="1" applyAlignment="1">
      <alignment horizontal="center" wrapText="1"/>
    </xf>
    <xf numFmtId="0" fontId="25" fillId="0" borderId="13" xfId="210" applyFont="1" applyBorder="1" applyAlignment="1">
      <alignment horizontal="center" wrapText="1"/>
    </xf>
    <xf numFmtId="0" fontId="25" fillId="0" borderId="11" xfId="210" applyFont="1" applyFill="1" applyBorder="1" applyAlignment="1">
      <alignment horizontal="center" wrapText="1"/>
    </xf>
    <xf numFmtId="0" fontId="25" fillId="0" borderId="0" xfId="210" applyFont="1" applyAlignment="1">
      <alignment horizontal="center"/>
    </xf>
    <xf numFmtId="0" fontId="25" fillId="0" borderId="0" xfId="210" applyFont="1" applyFill="1" applyBorder="1" applyAlignment="1">
      <alignment horizontal="center" wrapText="1"/>
    </xf>
    <xf numFmtId="0" fontId="25" fillId="0" borderId="0" xfId="210" applyFont="1" applyAlignment="1">
      <alignment horizontal="left"/>
    </xf>
    <xf numFmtId="0" fontId="24" fillId="35" borderId="0" xfId="210" applyFont="1" applyFill="1"/>
    <xf numFmtId="49" fontId="24" fillId="0" borderId="0" xfId="210" applyNumberFormat="1" applyFont="1" applyFill="1" applyAlignment="1">
      <alignment horizontal="center"/>
    </xf>
    <xf numFmtId="0" fontId="24" fillId="0" borderId="0" xfId="210" applyFont="1" applyBorder="1"/>
    <xf numFmtId="0" fontId="24" fillId="0" borderId="0" xfId="210" applyFont="1" applyFill="1" applyBorder="1" applyAlignment="1">
      <alignment horizontal="center"/>
    </xf>
    <xf numFmtId="41" fontId="24" fillId="30" borderId="12" xfId="249" applyNumberFormat="1" applyFont="1" applyFill="1" applyBorder="1" applyProtection="1">
      <protection locked="0"/>
    </xf>
    <xf numFmtId="173" fontId="24" fillId="36" borderId="12" xfId="111" applyNumberFormat="1" applyFont="1" applyFill="1" applyBorder="1"/>
    <xf numFmtId="173" fontId="24" fillId="0" borderId="47" xfId="111" applyNumberFormat="1" applyFont="1" applyFill="1" applyBorder="1"/>
    <xf numFmtId="173" fontId="24" fillId="0" borderId="12" xfId="111" applyNumberFormat="1" applyFont="1" applyFill="1" applyBorder="1"/>
    <xf numFmtId="41" fontId="24" fillId="30" borderId="0" xfId="249" applyNumberFormat="1" applyFont="1" applyFill="1" applyBorder="1" applyProtection="1">
      <protection locked="0"/>
    </xf>
    <xf numFmtId="41" fontId="24" fillId="0" borderId="0" xfId="210" applyNumberFormat="1" applyFont="1" applyBorder="1" applyAlignment="1">
      <alignment horizontal="center"/>
    </xf>
    <xf numFmtId="0" fontId="25" fillId="0" borderId="0" xfId="210" applyFont="1" applyBorder="1"/>
    <xf numFmtId="173" fontId="24" fillId="36" borderId="47" xfId="111" applyNumberFormat="1" applyFont="1" applyFill="1" applyBorder="1"/>
    <xf numFmtId="41" fontId="24" fillId="0" borderId="12" xfId="162" applyNumberFormat="1" applyFont="1" applyFill="1" applyBorder="1"/>
    <xf numFmtId="41" fontId="24" fillId="30" borderId="34" xfId="249" applyNumberFormat="1" applyFont="1" applyFill="1" applyBorder="1" applyAlignment="1" applyProtection="1">
      <alignment vertical="center" wrapText="1"/>
      <protection locked="0"/>
    </xf>
    <xf numFmtId="173" fontId="24" fillId="0" borderId="0" xfId="86" applyNumberFormat="1" applyFont="1" applyBorder="1" applyAlignment="1">
      <alignment horizontal="center"/>
    </xf>
    <xf numFmtId="49" fontId="24" fillId="0" borderId="0" xfId="210" applyNumberFormat="1" applyFont="1" applyAlignment="1">
      <alignment horizontal="center"/>
    </xf>
    <xf numFmtId="0" fontId="25" fillId="0" borderId="0" xfId="210" applyFont="1"/>
    <xf numFmtId="41" fontId="24" fillId="30" borderId="34" xfId="249" applyNumberFormat="1" applyFont="1" applyFill="1" applyBorder="1" applyAlignment="1" applyProtection="1">
      <alignment vertical="top"/>
      <protection locked="0"/>
    </xf>
    <xf numFmtId="0" fontId="0" fillId="0" borderId="0" xfId="0" applyFont="1"/>
    <xf numFmtId="0" fontId="24" fillId="0" borderId="0" xfId="162" applyFont="1" applyFill="1"/>
    <xf numFmtId="0" fontId="24" fillId="0" borderId="0" xfId="162" applyFont="1" applyFill="1" applyBorder="1"/>
    <xf numFmtId="0" fontId="24" fillId="0" borderId="0" xfId="210" applyFont="1" applyFill="1" applyAlignment="1">
      <alignment horizontal="center"/>
    </xf>
    <xf numFmtId="0" fontId="24" fillId="0" borderId="0" xfId="210" applyFont="1" applyAlignment="1">
      <alignment wrapText="1"/>
    </xf>
    <xf numFmtId="173" fontId="24" fillId="36" borderId="0" xfId="111" applyNumberFormat="1" applyFont="1" applyFill="1" applyBorder="1"/>
    <xf numFmtId="41" fontId="24" fillId="30" borderId="48" xfId="249" applyNumberFormat="1" applyFont="1" applyFill="1" applyBorder="1" applyProtection="1">
      <protection locked="0"/>
    </xf>
    <xf numFmtId="173" fontId="24" fillId="0" borderId="0" xfId="111" applyNumberFormat="1" applyFont="1" applyFill="1" applyBorder="1"/>
    <xf numFmtId="173" fontId="24" fillId="0" borderId="0" xfId="111" applyNumberFormat="1" applyFont="1" applyBorder="1" applyAlignment="1">
      <alignment wrapText="1"/>
    </xf>
    <xf numFmtId="0" fontId="24" fillId="0" borderId="0" xfId="210" applyFont="1" applyAlignment="1">
      <alignment horizontal="left"/>
    </xf>
    <xf numFmtId="1" fontId="24" fillId="0" borderId="14" xfId="86" applyNumberFormat="1" applyFont="1" applyBorder="1" applyAlignment="1"/>
    <xf numFmtId="173" fontId="24" fillId="0" borderId="14" xfId="86" applyNumberFormat="1" applyFont="1" applyBorder="1" applyAlignment="1"/>
    <xf numFmtId="177" fontId="24" fillId="0" borderId="14" xfId="86" applyNumberFormat="1" applyFont="1" applyBorder="1" applyAlignment="1"/>
    <xf numFmtId="173" fontId="24" fillId="0" borderId="0" xfId="111" applyNumberFormat="1" applyFont="1" applyAlignment="1">
      <alignment wrapText="1"/>
    </xf>
    <xf numFmtId="1" fontId="24" fillId="0" borderId="0" xfId="86" applyNumberFormat="1" applyFont="1" applyBorder="1" applyAlignment="1"/>
    <xf numFmtId="177" fontId="24" fillId="0" borderId="0" xfId="86" applyNumberFormat="1" applyFont="1" applyBorder="1" applyAlignment="1"/>
    <xf numFmtId="173" fontId="24" fillId="0" borderId="1" xfId="86" applyNumberFormat="1" applyFont="1" applyBorder="1" applyAlignment="1">
      <alignment horizontal="center"/>
    </xf>
    <xf numFmtId="173" fontId="24" fillId="0" borderId="0" xfId="86" applyNumberFormat="1" applyFont="1" applyBorder="1" applyAlignment="1"/>
    <xf numFmtId="0" fontId="24" fillId="0" borderId="0" xfId="210" applyFont="1" applyAlignment="1">
      <alignment horizontal="left" vertical="center"/>
    </xf>
    <xf numFmtId="0" fontId="24" fillId="0" borderId="0" xfId="210" applyFont="1" applyAlignment="1">
      <alignment vertical="top" wrapText="1"/>
    </xf>
    <xf numFmtId="0" fontId="24" fillId="0" borderId="0" xfId="210" applyFont="1" applyAlignment="1"/>
    <xf numFmtId="173" fontId="24" fillId="0" borderId="0" xfId="210" applyNumberFormat="1" applyFont="1"/>
    <xf numFmtId="0" fontId="24" fillId="0" borderId="0" xfId="210" applyFont="1" applyAlignment="1">
      <alignment vertical="top"/>
    </xf>
    <xf numFmtId="0" fontId="24" fillId="0" borderId="0" xfId="210" applyFont="1" applyFill="1" applyAlignment="1">
      <alignment vertical="top" wrapText="1"/>
    </xf>
    <xf numFmtId="0" fontId="24" fillId="0" borderId="0" xfId="210" applyFont="1" applyFill="1"/>
    <xf numFmtId="0" fontId="24" fillId="0" borderId="0" xfId="210" applyFont="1" applyFill="1" applyAlignment="1">
      <alignment horizontal="left"/>
    </xf>
    <xf numFmtId="0" fontId="25" fillId="0" borderId="0" xfId="210" applyFont="1" applyAlignment="1">
      <alignment horizontal="left" vertical="center"/>
    </xf>
    <xf numFmtId="173" fontId="24" fillId="0" borderId="0" xfId="210" applyNumberFormat="1" applyFont="1" applyAlignment="1">
      <alignment horizontal="left" vertical="center"/>
    </xf>
    <xf numFmtId="3" fontId="19" fillId="30" borderId="6" xfId="255" applyNumberFormat="1" applyFont="1" applyFill="1" applyBorder="1" applyAlignment="1" applyProtection="1">
      <protection locked="0"/>
    </xf>
    <xf numFmtId="0" fontId="25" fillId="0" borderId="0" xfId="210" applyFont="1" applyBorder="1" applyAlignment="1">
      <alignment horizontal="center" wrapText="1"/>
    </xf>
    <xf numFmtId="0" fontId="0" fillId="0" borderId="0" xfId="0" applyAlignment="1"/>
    <xf numFmtId="0" fontId="5" fillId="0" borderId="0" xfId="0" applyFont="1" applyFill="1" applyAlignment="1"/>
    <xf numFmtId="0" fontId="5" fillId="0" borderId="0" xfId="0" applyFont="1" applyAlignment="1"/>
    <xf numFmtId="41" fontId="19" fillId="30" borderId="0" xfId="255" applyNumberFormat="1" applyFont="1" applyFill="1" applyBorder="1" applyAlignment="1" applyProtection="1">
      <protection locked="0"/>
    </xf>
    <xf numFmtId="0" fontId="123" fillId="0" borderId="0" xfId="0" applyFont="1" applyAlignment="1">
      <alignment horizontal="left"/>
    </xf>
    <xf numFmtId="0" fontId="122" fillId="0" borderId="29" xfId="0" applyFont="1" applyBorder="1" applyAlignment="1">
      <alignment horizontal="center" wrapText="1"/>
    </xf>
    <xf numFmtId="0" fontId="122" fillId="0" borderId="0" xfId="0" applyFont="1"/>
    <xf numFmtId="170" fontId="144" fillId="30" borderId="0" xfId="254" applyNumberFormat="1" applyFont="1" applyFill="1" applyAlignment="1" applyProtection="1">
      <alignment horizontal="right"/>
      <protection locked="0"/>
    </xf>
    <xf numFmtId="170" fontId="140" fillId="0" borderId="0" xfId="254" applyNumberFormat="1" applyFont="1" applyAlignment="1" applyProtection="1">
      <alignment horizontal="right"/>
    </xf>
    <xf numFmtId="171" fontId="140" fillId="0" borderId="0" xfId="254" applyNumberFormat="1" applyFont="1" applyProtection="1"/>
    <xf numFmtId="171" fontId="140" fillId="33" borderId="0" xfId="254" applyNumberFormat="1" applyFont="1" applyFill="1" applyProtection="1">
      <protection locked="0"/>
    </xf>
    <xf numFmtId="3" fontId="144" fillId="30" borderId="0" xfId="110" applyNumberFormat="1" applyFont="1" applyFill="1" applyBorder="1" applyAlignment="1" applyProtection="1">
      <alignment horizontal="right"/>
      <protection locked="0"/>
    </xf>
    <xf numFmtId="170" fontId="140" fillId="0" borderId="0" xfId="254" applyNumberFormat="1" applyFont="1" applyProtection="1"/>
    <xf numFmtId="170" fontId="144" fillId="30" borderId="0" xfId="0" applyNumberFormat="1" applyFont="1" applyFill="1" applyAlignment="1" applyProtection="1">
      <alignment horizontal="right"/>
      <protection locked="0"/>
    </xf>
    <xf numFmtId="170" fontId="144" fillId="30" borderId="6" xfId="0" applyNumberFormat="1" applyFont="1" applyFill="1" applyBorder="1" applyAlignment="1" applyProtection="1">
      <alignment horizontal="right"/>
      <protection locked="0"/>
    </xf>
    <xf numFmtId="3" fontId="5" fillId="30" borderId="0" xfId="0" quotePrefix="1" applyNumberFormat="1" applyFont="1" applyFill="1" applyAlignment="1" applyProtection="1">
      <alignment horizontal="center"/>
      <protection locked="0"/>
    </xf>
    <xf numFmtId="3" fontId="19" fillId="30" borderId="0" xfId="0" applyNumberFormat="1" applyFont="1" applyFill="1" applyProtection="1">
      <protection locked="0"/>
    </xf>
    <xf numFmtId="41" fontId="27" fillId="0" borderId="0" xfId="248" applyNumberFormat="1" applyFont="1" applyFill="1" applyBorder="1" applyProtection="1">
      <protection locked="0"/>
    </xf>
    <xf numFmtId="173" fontId="8" fillId="26" borderId="33" xfId="107" applyNumberFormat="1" applyFont="1" applyFill="1" applyBorder="1" applyAlignment="1" applyProtection="1">
      <protection locked="0"/>
    </xf>
    <xf numFmtId="173" fontId="8" fillId="26" borderId="35" xfId="107" applyNumberFormat="1" applyFont="1" applyFill="1" applyBorder="1" applyAlignment="1" applyProtection="1">
      <protection locked="0"/>
    </xf>
    <xf numFmtId="49" fontId="2" fillId="0" borderId="0" xfId="332" applyNumberFormat="1"/>
    <xf numFmtId="0" fontId="2" fillId="0" borderId="0" xfId="332"/>
    <xf numFmtId="0" fontId="5" fillId="0" borderId="0" xfId="332" applyFont="1" applyAlignment="1">
      <alignment horizontal="right"/>
    </xf>
    <xf numFmtId="173" fontId="2" fillId="0" borderId="0" xfId="333" applyNumberFormat="1" applyFont="1"/>
    <xf numFmtId="0" fontId="24" fillId="0" borderId="0" xfId="334" applyFont="1" applyAlignment="1">
      <alignment horizontal="right"/>
    </xf>
    <xf numFmtId="0" fontId="2" fillId="0" borderId="0" xfId="334" applyFont="1" applyAlignment="1">
      <alignment horizontal="right"/>
    </xf>
    <xf numFmtId="0" fontId="2" fillId="0" borderId="0" xfId="335"/>
    <xf numFmtId="41" fontId="9" fillId="0" borderId="0" xfId="336" applyNumberFormat="1" applyFont="1" applyAlignment="1" applyProtection="1">
      <alignment horizontal="center"/>
      <protection locked="0"/>
    </xf>
    <xf numFmtId="2" fontId="2" fillId="0" borderId="0" xfId="332" applyNumberFormat="1" applyAlignment="1">
      <alignment horizontal="center"/>
    </xf>
    <xf numFmtId="0" fontId="2" fillId="0" borderId="0" xfId="332" applyAlignment="1">
      <alignment horizontal="center"/>
    </xf>
    <xf numFmtId="2" fontId="2" fillId="0" borderId="0" xfId="332" applyNumberFormat="1"/>
    <xf numFmtId="0" fontId="2" fillId="0" borderId="0" xfId="332" applyAlignment="1">
      <alignment wrapText="1"/>
    </xf>
    <xf numFmtId="0" fontId="2" fillId="0" borderId="0" xfId="332" applyAlignment="1">
      <alignment horizontal="center" wrapText="1"/>
    </xf>
    <xf numFmtId="1" fontId="2" fillId="0" borderId="0" xfId="332" applyNumberFormat="1" applyAlignment="1">
      <alignment horizontal="center"/>
    </xf>
    <xf numFmtId="49" fontId="2" fillId="0" borderId="0" xfId="333" applyNumberFormat="1" applyFont="1"/>
    <xf numFmtId="173" fontId="2" fillId="0" borderId="11" xfId="333" applyNumberFormat="1" applyFont="1" applyBorder="1"/>
    <xf numFmtId="173" fontId="2" fillId="0" borderId="0" xfId="333" applyNumberFormat="1" applyFont="1" applyFill="1"/>
    <xf numFmtId="10" fontId="2" fillId="0" borderId="0" xfId="337" applyNumberFormat="1" applyFont="1" applyFill="1" applyAlignment="1"/>
    <xf numFmtId="9" fontId="2" fillId="0" borderId="0" xfId="337" applyFont="1"/>
    <xf numFmtId="9" fontId="2" fillId="0" borderId="0" xfId="337" applyFont="1" applyFill="1"/>
    <xf numFmtId="43" fontId="2" fillId="0" borderId="0" xfId="333" applyFont="1" applyFill="1"/>
    <xf numFmtId="10" fontId="2" fillId="0" borderId="0" xfId="337" applyNumberFormat="1" applyFont="1" applyFill="1"/>
    <xf numFmtId="173" fontId="2" fillId="0" borderId="13" xfId="333" applyNumberFormat="1" applyFont="1" applyBorder="1"/>
    <xf numFmtId="173" fontId="2" fillId="0" borderId="0" xfId="333" applyNumberFormat="1" applyFont="1" applyBorder="1"/>
    <xf numFmtId="10" fontId="2" fillId="0" borderId="0" xfId="337" applyNumberFormat="1" applyFont="1"/>
    <xf numFmtId="0" fontId="15" fillId="0" borderId="0" xfId="332" applyFont="1"/>
    <xf numFmtId="0" fontId="15" fillId="0" borderId="0" xfId="332" applyFont="1" applyAlignment="1">
      <alignment vertical="top"/>
    </xf>
    <xf numFmtId="0" fontId="2" fillId="0" borderId="0" xfId="332" applyAlignment="1">
      <alignment vertical="center"/>
    </xf>
    <xf numFmtId="0" fontId="155" fillId="0" borderId="0" xfId="332" applyFont="1" applyAlignment="1">
      <alignment vertical="center"/>
    </xf>
    <xf numFmtId="0" fontId="155" fillId="0" borderId="0" xfId="332" applyFont="1" applyAlignment="1">
      <alignment vertical="center" wrapText="1"/>
    </xf>
    <xf numFmtId="173" fontId="8" fillId="26" borderId="32" xfId="107" applyNumberFormat="1" applyFont="1" applyFill="1" applyBorder="1" applyAlignment="1" applyProtection="1">
      <protection locked="0"/>
    </xf>
    <xf numFmtId="173" fontId="8" fillId="26" borderId="34" xfId="107" applyNumberFormat="1" applyFont="1" applyFill="1" applyBorder="1" applyAlignment="1" applyProtection="1">
      <protection locked="0"/>
    </xf>
    <xf numFmtId="173" fontId="8" fillId="26" borderId="36" xfId="107" applyNumberFormat="1" applyFont="1" applyFill="1" applyBorder="1" applyAlignment="1" applyProtection="1">
      <protection locked="0"/>
    </xf>
    <xf numFmtId="173" fontId="8" fillId="26" borderId="2" xfId="107" applyNumberFormat="1" applyFont="1" applyFill="1" applyBorder="1" applyAlignment="1" applyProtection="1">
      <protection locked="0"/>
    </xf>
    <xf numFmtId="173" fontId="8" fillId="26" borderId="0" xfId="107" applyNumberFormat="1" applyFont="1" applyFill="1" applyBorder="1" applyAlignment="1" applyProtection="1">
      <protection locked="0"/>
    </xf>
    <xf numFmtId="173" fontId="8" fillId="26" borderId="11" xfId="107" applyNumberFormat="1" applyFont="1" applyFill="1" applyBorder="1" applyAlignment="1" applyProtection="1">
      <protection locked="0"/>
    </xf>
    <xf numFmtId="173" fontId="8" fillId="26" borderId="2" xfId="108" applyNumberFormat="1" applyFont="1" applyFill="1" applyBorder="1" applyAlignment="1" applyProtection="1">
      <protection locked="0"/>
    </xf>
    <xf numFmtId="173" fontId="8" fillId="30" borderId="0" xfId="108" applyNumberFormat="1" applyFont="1" applyFill="1" applyBorder="1" applyAlignment="1" applyProtection="1">
      <protection locked="0"/>
    </xf>
    <xf numFmtId="173" fontId="8" fillId="26" borderId="11" xfId="108" applyNumberFormat="1" applyFont="1" applyFill="1" applyBorder="1" applyAlignment="1" applyProtection="1">
      <protection locked="0"/>
    </xf>
    <xf numFmtId="173" fontId="8" fillId="26" borderId="37" xfId="107" applyNumberFormat="1" applyFont="1" applyFill="1" applyBorder="1" applyAlignment="1" applyProtection="1">
      <protection locked="0"/>
    </xf>
    <xf numFmtId="0" fontId="0" fillId="0" borderId="34" xfId="0" applyBorder="1"/>
    <xf numFmtId="0" fontId="5" fillId="0" borderId="0" xfId="0" applyFont="1" applyFill="1" applyAlignment="1" applyProtection="1">
      <alignment horizontal="left" vertical="top" wrapText="1"/>
    </xf>
    <xf numFmtId="172" fontId="5" fillId="0" borderId="0" xfId="255" applyFont="1" applyAlignment="1" applyProtection="1">
      <alignment horizontal="left" wrapText="1"/>
    </xf>
    <xf numFmtId="0" fontId="5" fillId="0" borderId="0" xfId="255" applyNumberFormat="1" applyFont="1" applyFill="1" applyAlignment="1" applyProtection="1">
      <alignment vertical="top" wrapText="1"/>
    </xf>
    <xf numFmtId="0" fontId="12" fillId="0" borderId="0" xfId="0" applyFont="1" applyFill="1" applyProtection="1"/>
    <xf numFmtId="0" fontId="26" fillId="0" borderId="0" xfId="255" applyNumberFormat="1" applyFont="1" applyFill="1" applyAlignment="1" applyProtection="1">
      <alignment horizontal="left" wrapText="1"/>
    </xf>
    <xf numFmtId="172" fontId="5" fillId="0" borderId="0" xfId="255" applyFont="1" applyFill="1" applyAlignment="1" applyProtection="1">
      <alignment horizontal="justify" wrapText="1"/>
    </xf>
    <xf numFmtId="0" fontId="12" fillId="0" borderId="0" xfId="0" applyFont="1" applyFill="1" applyAlignment="1" applyProtection="1">
      <alignment horizontal="justify" wrapText="1"/>
    </xf>
    <xf numFmtId="172" fontId="26" fillId="0" borderId="0" xfId="255" applyFont="1" applyFill="1" applyAlignment="1" applyProtection="1">
      <alignment vertical="top" wrapText="1"/>
    </xf>
    <xf numFmtId="0" fontId="26" fillId="0" borderId="0" xfId="0" applyFont="1" applyAlignment="1" applyProtection="1">
      <alignment vertical="top" wrapText="1"/>
    </xf>
    <xf numFmtId="172" fontId="26" fillId="0" borderId="0" xfId="255" applyFont="1" applyFill="1" applyAlignment="1" applyProtection="1">
      <alignment wrapText="1"/>
    </xf>
    <xf numFmtId="172" fontId="5" fillId="0" borderId="0" xfId="255" applyFont="1" applyFill="1" applyAlignment="1" applyProtection="1">
      <alignment vertical="top" wrapText="1"/>
    </xf>
    <xf numFmtId="172" fontId="107" fillId="0" borderId="0" xfId="255" applyFont="1" applyFill="1" applyAlignment="1" applyProtection="1">
      <alignment wrapText="1"/>
    </xf>
    <xf numFmtId="0" fontId="12" fillId="0" borderId="0" xfId="0" applyFont="1" applyAlignment="1" applyProtection="1">
      <alignment wrapText="1"/>
    </xf>
    <xf numFmtId="0" fontId="32" fillId="0" borderId="0" xfId="0" applyFont="1" applyAlignment="1" applyProtection="1">
      <alignment wrapText="1"/>
    </xf>
    <xf numFmtId="0" fontId="5" fillId="0" borderId="0" xfId="255" applyNumberFormat="1" applyFont="1" applyFill="1" applyAlignment="1" applyProtection="1">
      <alignment wrapText="1"/>
    </xf>
    <xf numFmtId="0" fontId="5" fillId="32" borderId="0" xfId="255" applyNumberFormat="1" applyFont="1" applyFill="1" applyAlignment="1" applyProtection="1">
      <alignment horizontal="left" vertical="top" wrapText="1"/>
    </xf>
    <xf numFmtId="3" fontId="108" fillId="31" borderId="0" xfId="255" applyNumberFormat="1" applyFont="1" applyFill="1" applyAlignment="1" applyProtection="1">
      <alignment horizontal="center"/>
    </xf>
    <xf numFmtId="3" fontId="10" fillId="0" borderId="0" xfId="255" applyNumberFormat="1" applyFont="1" applyFill="1" applyAlignment="1" applyProtection="1">
      <alignment horizontal="center"/>
    </xf>
    <xf numFmtId="0" fontId="5" fillId="0" borderId="0" xfId="0" applyFont="1" applyAlignment="1" applyProtection="1">
      <alignment wrapText="1"/>
    </xf>
    <xf numFmtId="172" fontId="77" fillId="0" borderId="0" xfId="255" applyFont="1" applyAlignment="1" applyProtection="1">
      <alignment horizontal="left" wrapText="1"/>
    </xf>
    <xf numFmtId="49" fontId="5" fillId="0" borderId="0" xfId="255" applyNumberFormat="1" applyFont="1" applyAlignment="1" applyProtection="1">
      <alignment horizontal="center"/>
    </xf>
    <xf numFmtId="0" fontId="32" fillId="0" borderId="0" xfId="0" applyFont="1" applyAlignment="1" applyProtection="1">
      <alignment horizontal="center"/>
    </xf>
    <xf numFmtId="0" fontId="10" fillId="0" borderId="0" xfId="255" applyNumberFormat="1" applyFont="1" applyAlignment="1" applyProtection="1">
      <alignment horizontal="center"/>
    </xf>
    <xf numFmtId="0" fontId="13" fillId="0" borderId="0" xfId="0" applyFont="1" applyAlignment="1" applyProtection="1"/>
    <xf numFmtId="0" fontId="0" fillId="0" borderId="0" xfId="0" applyAlignment="1" applyProtection="1">
      <alignment horizontal="center"/>
    </xf>
    <xf numFmtId="172" fontId="6" fillId="0" borderId="11" xfId="255" applyFont="1" applyBorder="1" applyAlignment="1" applyProtection="1">
      <alignment horizontal="center"/>
    </xf>
    <xf numFmtId="0" fontId="2" fillId="0" borderId="0" xfId="259" applyFont="1" applyAlignment="1">
      <alignment horizontal="left" wrapText="1"/>
    </xf>
    <xf numFmtId="0" fontId="5" fillId="0" borderId="0" xfId="0" applyFont="1" applyAlignment="1" applyProtection="1">
      <alignment horizontal="center"/>
    </xf>
    <xf numFmtId="0" fontId="5" fillId="0" borderId="0" xfId="207" applyFont="1" applyBorder="1" applyAlignment="1">
      <alignment horizontal="center"/>
    </xf>
    <xf numFmtId="0" fontId="9" fillId="0" borderId="47" xfId="259" applyFont="1" applyBorder="1" applyAlignment="1">
      <alignment horizontal="center" wrapText="1"/>
    </xf>
    <xf numFmtId="0" fontId="9" fillId="0" borderId="13" xfId="259" applyFont="1" applyBorder="1" applyAlignment="1">
      <alignment horizontal="center" wrapText="1"/>
    </xf>
    <xf numFmtId="0" fontId="9" fillId="0" borderId="48" xfId="259" applyFont="1" applyBorder="1" applyAlignment="1">
      <alignment horizontal="center" wrapText="1"/>
    </xf>
    <xf numFmtId="0" fontId="9" fillId="0" borderId="47" xfId="0" applyFont="1" applyBorder="1" applyAlignment="1">
      <alignment horizontal="center"/>
    </xf>
    <xf numFmtId="0" fontId="9" fillId="0" borderId="13" xfId="0" applyFont="1" applyBorder="1" applyAlignment="1">
      <alignment horizontal="center"/>
    </xf>
    <xf numFmtId="3" fontId="5" fillId="0" borderId="0" xfId="207" applyNumberFormat="1" applyFont="1" applyBorder="1" applyAlignment="1">
      <alignment horizontal="center"/>
    </xf>
    <xf numFmtId="0" fontId="5" fillId="0" borderId="0" xfId="0" applyFont="1" applyAlignment="1">
      <alignment horizontal="center"/>
    </xf>
    <xf numFmtId="0" fontId="40" fillId="0" borderId="0" xfId="248" applyFont="1" applyBorder="1" applyAlignment="1">
      <alignment horizontal="center" wrapText="1"/>
    </xf>
    <xf numFmtId="0" fontId="63" fillId="0" borderId="11" xfId="0" applyFont="1" applyBorder="1" applyAlignment="1">
      <alignment horizontal="center" wrapText="1"/>
    </xf>
    <xf numFmtId="3" fontId="5" fillId="0" borderId="0" xfId="0" applyNumberFormat="1" applyFont="1" applyAlignment="1">
      <alignment horizontal="center"/>
    </xf>
    <xf numFmtId="0" fontId="40" fillId="0" borderId="0" xfId="207" quotePrefix="1" applyFont="1" applyBorder="1" applyAlignment="1">
      <alignment horizontal="center" wrapText="1"/>
    </xf>
    <xf numFmtId="0" fontId="24" fillId="0" borderId="11" xfId="210" applyFont="1" applyBorder="1" applyAlignment="1">
      <alignment horizontal="center"/>
    </xf>
    <xf numFmtId="0" fontId="24" fillId="0" borderId="11" xfId="0" applyFont="1" applyBorder="1" applyAlignment="1">
      <alignment horizontal="center"/>
    </xf>
    <xf numFmtId="0" fontId="24" fillId="0" borderId="11" xfId="210" applyFont="1" applyBorder="1" applyAlignment="1">
      <alignment horizontal="center" wrapText="1"/>
    </xf>
    <xf numFmtId="0" fontId="25" fillId="0" borderId="0" xfId="210" applyFont="1" applyBorder="1" applyAlignment="1">
      <alignment horizontal="center" wrapText="1"/>
    </xf>
    <xf numFmtId="41" fontId="24" fillId="30" borderId="34" xfId="249" applyNumberFormat="1" applyFont="1" applyFill="1" applyBorder="1" applyAlignment="1" applyProtection="1">
      <alignment horizontal="left" vertical="center" wrapText="1"/>
      <protection locked="0"/>
    </xf>
    <xf numFmtId="0" fontId="24" fillId="0" borderId="0" xfId="210" applyFont="1" applyAlignment="1">
      <alignment horizontal="center" wrapText="1"/>
    </xf>
    <xf numFmtId="0" fontId="24" fillId="0" borderId="0" xfId="210" applyFont="1" applyAlignment="1">
      <alignment horizontal="left" vertical="top" wrapText="1"/>
    </xf>
    <xf numFmtId="0" fontId="24" fillId="0" borderId="0" xfId="210" applyFont="1" applyFill="1" applyAlignment="1">
      <alignment horizontal="left" vertical="top" wrapText="1"/>
    </xf>
    <xf numFmtId="2" fontId="2" fillId="0" borderId="0" xfId="332" applyNumberFormat="1" applyAlignment="1">
      <alignment horizontal="left"/>
    </xf>
    <xf numFmtId="41" fontId="9" fillId="0" borderId="0" xfId="336" applyNumberFormat="1" applyFont="1" applyAlignment="1" applyProtection="1">
      <alignment horizontal="center"/>
      <protection locked="0"/>
    </xf>
    <xf numFmtId="0" fontId="2" fillId="0" borderId="0" xfId="332" applyAlignment="1">
      <alignment vertical="center" wrapText="1"/>
    </xf>
    <xf numFmtId="0" fontId="2" fillId="0" borderId="0" xfId="332" applyAlignment="1">
      <alignment horizontal="left" vertical="top" wrapText="1"/>
    </xf>
    <xf numFmtId="0" fontId="2" fillId="0" borderId="0" xfId="332" applyAlignment="1">
      <alignment horizontal="left" wrapText="1"/>
    </xf>
    <xf numFmtId="0" fontId="12" fillId="0" borderId="0" xfId="207" applyNumberFormat="1" applyFont="1" applyFill="1" applyBorder="1" applyAlignment="1">
      <alignment horizontal="left" wrapText="1"/>
    </xf>
    <xf numFmtId="0" fontId="81" fillId="0" borderId="0" xfId="207" applyNumberFormat="1" applyFont="1" applyFill="1" applyBorder="1" applyAlignment="1" applyProtection="1">
      <alignment horizontal="center"/>
    </xf>
    <xf numFmtId="0" fontId="5" fillId="0" borderId="0" xfId="207" applyFont="1" applyBorder="1" applyAlignment="1" applyProtection="1">
      <alignment horizontal="center"/>
    </xf>
    <xf numFmtId="3" fontId="5" fillId="0" borderId="0" xfId="0" applyNumberFormat="1" applyFont="1" applyAlignment="1" applyProtection="1">
      <alignment horizontal="center"/>
    </xf>
    <xf numFmtId="0" fontId="81" fillId="0" borderId="0" xfId="248" applyFont="1" applyFill="1" applyAlignment="1" applyProtection="1">
      <alignment horizontal="center"/>
    </xf>
    <xf numFmtId="0" fontId="17" fillId="0" borderId="0" xfId="248" applyFont="1" applyBorder="1" applyAlignment="1" applyProtection="1">
      <alignment horizontal="center" wrapText="1"/>
    </xf>
    <xf numFmtId="0" fontId="13" fillId="0" borderId="0" xfId="0" applyFont="1" applyBorder="1" applyAlignment="1" applyProtection="1">
      <alignment horizontal="center" wrapText="1"/>
    </xf>
    <xf numFmtId="0" fontId="17" fillId="0" borderId="0" xfId="207" quotePrefix="1" applyFont="1" applyBorder="1" applyAlignment="1" applyProtection="1">
      <alignment horizontal="center" wrapText="1"/>
    </xf>
    <xf numFmtId="0" fontId="13" fillId="0" borderId="0" xfId="0" applyFont="1" applyAlignment="1" applyProtection="1">
      <alignment horizontal="center" wrapText="1"/>
    </xf>
    <xf numFmtId="0" fontId="81" fillId="0" borderId="0" xfId="0" applyFont="1" applyFill="1" applyAlignment="1" applyProtection="1">
      <alignment horizontal="center"/>
    </xf>
    <xf numFmtId="172" fontId="109" fillId="0" borderId="0" xfId="255" applyFont="1" applyFill="1" applyAlignment="1" applyProtection="1">
      <alignment wrapText="1"/>
    </xf>
    <xf numFmtId="0" fontId="120" fillId="0" borderId="0" xfId="0" applyFont="1" applyAlignment="1" applyProtection="1">
      <alignment wrapText="1"/>
    </xf>
    <xf numFmtId="172" fontId="12" fillId="0" borderId="0" xfId="255" applyFont="1" applyFill="1" applyAlignment="1" applyProtection="1">
      <alignment horizontal="left" vertical="top" wrapText="1"/>
    </xf>
    <xf numFmtId="0" fontId="94" fillId="0" borderId="0" xfId="260" applyFont="1" applyFill="1" applyAlignment="1" applyProtection="1">
      <alignment wrapText="1"/>
    </xf>
    <xf numFmtId="3" fontId="4" fillId="0" borderId="0" xfId="0" applyNumberFormat="1" applyFont="1" applyAlignment="1" applyProtection="1">
      <alignment horizontal="center"/>
    </xf>
    <xf numFmtId="0" fontId="10" fillId="0" borderId="0" xfId="260" applyFont="1" applyFill="1" applyAlignment="1" applyProtection="1">
      <alignment horizontal="center"/>
    </xf>
    <xf numFmtId="3" fontId="4" fillId="0" borderId="0" xfId="0" applyNumberFormat="1" applyFont="1" applyAlignment="1">
      <alignment horizontal="center"/>
    </xf>
    <xf numFmtId="0" fontId="74" fillId="0" borderId="11" xfId="256" applyFont="1" applyBorder="1" applyAlignment="1" applyProtection="1">
      <alignment horizontal="center"/>
    </xf>
    <xf numFmtId="3" fontId="5" fillId="0" borderId="0" xfId="207" applyNumberFormat="1" applyFont="1" applyBorder="1" applyAlignment="1" applyProtection="1">
      <alignment horizontal="center"/>
    </xf>
    <xf numFmtId="0" fontId="71" fillId="0" borderId="0" xfId="256" applyFont="1" applyFill="1" applyAlignment="1">
      <alignment horizontal="left" wrapText="1"/>
    </xf>
    <xf numFmtId="0" fontId="0" fillId="0" borderId="0" xfId="0" applyAlignment="1"/>
    <xf numFmtId="0" fontId="71" fillId="0" borderId="0" xfId="256" applyFont="1" applyFill="1" applyAlignment="1">
      <alignment wrapText="1"/>
    </xf>
    <xf numFmtId="49" fontId="5" fillId="0" borderId="0" xfId="86" applyNumberFormat="1" applyFont="1" applyAlignment="1">
      <alignment horizontal="center"/>
    </xf>
    <xf numFmtId="0" fontId="0" fillId="0" borderId="0" xfId="0" applyAlignment="1">
      <alignment horizontal="center"/>
    </xf>
    <xf numFmtId="0" fontId="4" fillId="0" borderId="0" xfId="207" applyFont="1" applyBorder="1" applyAlignment="1">
      <alignment horizontal="center"/>
    </xf>
    <xf numFmtId="0" fontId="4" fillId="0" borderId="0" xfId="0" applyFont="1" applyAlignment="1">
      <alignment horizontal="center"/>
    </xf>
    <xf numFmtId="0" fontId="156" fillId="30" borderId="0" xfId="0" applyFont="1" applyFill="1" applyAlignment="1" applyProtection="1">
      <alignment horizontal="left" vertical="top" wrapText="1"/>
      <protection locked="0"/>
    </xf>
    <xf numFmtId="0" fontId="0" fillId="0" borderId="0" xfId="0" applyNumberFormat="1" applyAlignment="1" applyProtection="1">
      <alignment horizontal="left" wrapText="1"/>
    </xf>
    <xf numFmtId="173" fontId="95" fillId="0" borderId="0" xfId="86" applyNumberFormat="1" applyFont="1" applyBorder="1" applyAlignment="1" applyProtection="1">
      <alignment horizontal="center"/>
    </xf>
    <xf numFmtId="0" fontId="4" fillId="0" borderId="0" xfId="0" applyFont="1" applyFill="1" applyAlignment="1" applyProtection="1">
      <alignment wrapText="1"/>
    </xf>
    <xf numFmtId="0" fontId="0" fillId="0" borderId="0" xfId="0" applyAlignment="1" applyProtection="1">
      <alignment wrapText="1"/>
    </xf>
    <xf numFmtId="0" fontId="0" fillId="0" borderId="0" xfId="0" applyAlignment="1" applyProtection="1">
      <alignment horizontal="left" vertical="center" wrapText="1"/>
    </xf>
    <xf numFmtId="172" fontId="2" fillId="0" borderId="23" xfId="255" applyFont="1" applyBorder="1" applyAlignment="1" applyProtection="1">
      <alignment wrapText="1"/>
    </xf>
    <xf numFmtId="0" fontId="2" fillId="0" borderId="17" xfId="0" applyFont="1" applyBorder="1" applyAlignment="1" applyProtection="1">
      <alignment wrapText="1"/>
    </xf>
    <xf numFmtId="0" fontId="2" fillId="0" borderId="24" xfId="0" applyFont="1" applyBorder="1" applyAlignment="1" applyProtection="1">
      <alignment wrapText="1"/>
    </xf>
    <xf numFmtId="0" fontId="2" fillId="0" borderId="19" xfId="0" applyFont="1" applyBorder="1" applyAlignment="1" applyProtection="1">
      <alignment wrapText="1"/>
    </xf>
    <xf numFmtId="0" fontId="2" fillId="0" borderId="0" xfId="0" applyFont="1" applyBorder="1" applyAlignment="1" applyProtection="1">
      <alignment wrapText="1"/>
    </xf>
    <xf numFmtId="0" fontId="2" fillId="0" borderId="20" xfId="0" applyFont="1" applyBorder="1" applyAlignment="1" applyProtection="1">
      <alignment wrapText="1"/>
    </xf>
    <xf numFmtId="0" fontId="12" fillId="32" borderId="0" xfId="0" applyFont="1" applyFill="1" applyBorder="1" applyAlignment="1" applyProtection="1">
      <alignment wrapText="1"/>
    </xf>
    <xf numFmtId="0" fontId="0" fillId="32" borderId="0" xfId="0" applyFill="1" applyAlignment="1" applyProtection="1">
      <alignment wrapText="1"/>
    </xf>
    <xf numFmtId="0" fontId="12" fillId="0" borderId="0" xfId="0" applyFont="1" applyFill="1" applyBorder="1" applyAlignment="1" applyProtection="1">
      <alignment wrapText="1"/>
    </xf>
    <xf numFmtId="0" fontId="5" fillId="0" borderId="0" xfId="162" applyFont="1" applyAlignment="1" applyProtection="1">
      <alignment horizontal="center"/>
    </xf>
    <xf numFmtId="0" fontId="9" fillId="0" borderId="47" xfId="162" applyFont="1" applyBorder="1" applyAlignment="1">
      <alignment horizontal="center"/>
    </xf>
    <xf numFmtId="0" fontId="9" fillId="0" borderId="13" xfId="162" applyFont="1" applyBorder="1" applyAlignment="1">
      <alignment horizontal="center"/>
    </xf>
    <xf numFmtId="0" fontId="9" fillId="0" borderId="48" xfId="162" applyFont="1" applyBorder="1" applyAlignment="1">
      <alignment horizontal="center"/>
    </xf>
    <xf numFmtId="0" fontId="12" fillId="0" borderId="0" xfId="250" applyFont="1" applyFill="1" applyAlignment="1" applyProtection="1">
      <alignment horizontal="left" wrapText="1"/>
    </xf>
    <xf numFmtId="0" fontId="12" fillId="0" borderId="0" xfId="181" applyFont="1" applyFill="1" applyAlignment="1" applyProtection="1">
      <alignment wrapText="1"/>
    </xf>
    <xf numFmtId="0" fontId="112" fillId="0" borderId="0" xfId="250" applyFont="1" applyFill="1" applyAlignment="1" applyProtection="1">
      <alignment horizontal="left" wrapText="1"/>
    </xf>
    <xf numFmtId="0" fontId="63" fillId="0" borderId="0" xfId="162" applyFont="1" applyAlignment="1" applyProtection="1">
      <alignment horizontal="left" vertical="top" wrapText="1"/>
    </xf>
    <xf numFmtId="41" fontId="9" fillId="0" borderId="0" xfId="250" applyNumberFormat="1" applyFont="1" applyFill="1" applyBorder="1" applyAlignment="1" applyProtection="1">
      <alignment horizontal="center" wrapText="1"/>
    </xf>
    <xf numFmtId="0" fontId="94" fillId="0" borderId="0" xfId="0" applyFont="1" applyAlignment="1">
      <alignment horizontal="center" wrapText="1"/>
    </xf>
    <xf numFmtId="0" fontId="9" fillId="0" borderId="0" xfId="0" applyFont="1" applyAlignment="1">
      <alignment horizontal="center" wrapText="1"/>
    </xf>
    <xf numFmtId="0" fontId="20" fillId="30" borderId="0" xfId="0" applyFont="1" applyFill="1" applyAlignment="1" applyProtection="1">
      <alignment wrapText="1"/>
      <protection locked="0"/>
    </xf>
    <xf numFmtId="0" fontId="0" fillId="0" borderId="0" xfId="0" applyAlignment="1">
      <alignment wrapText="1"/>
    </xf>
    <xf numFmtId="0" fontId="9" fillId="0" borderId="0" xfId="0" applyFont="1" applyAlignment="1">
      <alignment horizontal="left" wrapText="1"/>
    </xf>
    <xf numFmtId="0" fontId="140" fillId="0" borderId="0" xfId="0" applyFont="1" applyAlignment="1" applyProtection="1">
      <alignment horizontal="left" vertical="center" wrapText="1"/>
    </xf>
    <xf numFmtId="0" fontId="140" fillId="0" borderId="0" xfId="207" applyFont="1" applyBorder="1" applyAlignment="1" applyProtection="1">
      <alignment horizontal="center"/>
    </xf>
    <xf numFmtId="3" fontId="140" fillId="0" borderId="0" xfId="207" applyNumberFormat="1" applyFont="1" applyAlignment="1" applyProtection="1">
      <alignment horizontal="center"/>
    </xf>
    <xf numFmtId="3" fontId="102" fillId="0" borderId="0" xfId="258" applyNumberFormat="1" applyFont="1" applyAlignment="1" applyProtection="1">
      <alignment horizontal="center"/>
    </xf>
    <xf numFmtId="0" fontId="77" fillId="0" borderId="11" xfId="258" applyFont="1" applyFill="1" applyBorder="1" applyAlignment="1" applyProtection="1">
      <alignment wrapText="1"/>
    </xf>
    <xf numFmtId="0" fontId="0" fillId="0" borderId="11" xfId="0" applyFill="1" applyBorder="1" applyAlignment="1" applyProtection="1">
      <alignment wrapText="1"/>
    </xf>
    <xf numFmtId="0" fontId="6" fillId="0" borderId="0" xfId="258" applyFont="1" applyAlignment="1" applyProtection="1">
      <alignment horizontal="left" wrapText="1"/>
    </xf>
    <xf numFmtId="0" fontId="5" fillId="0" borderId="0" xfId="258" applyFont="1" applyAlignment="1" applyProtection="1">
      <alignment horizontal="left" wrapText="1"/>
    </xf>
    <xf numFmtId="0" fontId="102" fillId="0" borderId="0" xfId="258" applyFont="1" applyAlignment="1" applyProtection="1">
      <alignment horizontal="center"/>
    </xf>
    <xf numFmtId="0" fontId="102" fillId="0" borderId="0" xfId="258" applyFont="1" applyFill="1" applyAlignment="1" applyProtection="1">
      <alignment horizontal="center"/>
    </xf>
    <xf numFmtId="0" fontId="12" fillId="0" borderId="0" xfId="248" applyFont="1" applyFill="1" applyAlignment="1" applyProtection="1">
      <alignment horizontal="left" vertical="top" wrapText="1"/>
    </xf>
    <xf numFmtId="0" fontId="9" fillId="0" borderId="0" xfId="262" applyFont="1" applyAlignment="1" applyProtection="1">
      <alignment horizontal="center"/>
    </xf>
    <xf numFmtId="0" fontId="4" fillId="0" borderId="0" xfId="0" applyFont="1" applyFill="1" applyAlignment="1" applyProtection="1">
      <alignment horizontal="center"/>
    </xf>
    <xf numFmtId="0" fontId="77" fillId="0" borderId="0" xfId="0" applyFont="1" applyAlignment="1" applyProtection="1">
      <alignment horizontal="center"/>
    </xf>
    <xf numFmtId="0" fontId="6" fillId="0" borderId="0" xfId="0" applyFont="1" applyFill="1" applyAlignment="1" applyProtection="1">
      <alignment horizontal="center"/>
    </xf>
    <xf numFmtId="0" fontId="122" fillId="0" borderId="0" xfId="0" applyFont="1" applyFill="1" applyAlignment="1" applyProtection="1">
      <alignment horizontal="left" wrapText="1"/>
    </xf>
    <xf numFmtId="0" fontId="122" fillId="0" borderId="0" xfId="0" applyFont="1" applyAlignment="1">
      <alignment horizontal="center"/>
    </xf>
    <xf numFmtId="0" fontId="5" fillId="0" borderId="0" xfId="0" applyFont="1"/>
    <xf numFmtId="176" fontId="122" fillId="0" borderId="0" xfId="0" applyNumberFormat="1" applyFont="1"/>
  </cellXfs>
  <cellStyles count="338">
    <cellStyle name="20% - Accent1" xfId="1" builtinId="30" customBuiltin="1"/>
    <cellStyle name="20% - Accent1 2" xfId="2" xr:uid="{00000000-0005-0000-0000-000001000000}"/>
    <cellStyle name="20% - Accent2" xfId="3" builtinId="34" customBuiltin="1"/>
    <cellStyle name="20% - Accent2 2" xfId="4" xr:uid="{00000000-0005-0000-0000-000003000000}"/>
    <cellStyle name="20% - Accent3" xfId="5" builtinId="38" customBuiltin="1"/>
    <cellStyle name="20% - Accent3 2" xfId="6" xr:uid="{00000000-0005-0000-0000-000005000000}"/>
    <cellStyle name="20% - Accent4" xfId="7" builtinId="42" customBuiltin="1"/>
    <cellStyle name="20% - Accent4 2" xfId="8" xr:uid="{00000000-0005-0000-0000-000007000000}"/>
    <cellStyle name="20% - Accent5" xfId="9" builtinId="46" customBuiltin="1"/>
    <cellStyle name="20% - Accent5 2" xfId="10" xr:uid="{00000000-0005-0000-0000-000009000000}"/>
    <cellStyle name="20% - Accent6" xfId="11" builtinId="50" customBuiltin="1"/>
    <cellStyle name="20% - Accent6 2" xfId="12" xr:uid="{00000000-0005-0000-0000-00000B000000}"/>
    <cellStyle name="40% - Accent1" xfId="13" builtinId="31" customBuiltin="1"/>
    <cellStyle name="40% - Accent1 2" xfId="14" xr:uid="{00000000-0005-0000-0000-00000D000000}"/>
    <cellStyle name="40% - Accent2" xfId="15" builtinId="35" customBuiltin="1"/>
    <cellStyle name="40% - Accent2 2" xfId="16" xr:uid="{00000000-0005-0000-0000-00000F000000}"/>
    <cellStyle name="40% - Accent3" xfId="17" builtinId="39" customBuiltin="1"/>
    <cellStyle name="40% - Accent3 2" xfId="18" xr:uid="{00000000-0005-0000-0000-000011000000}"/>
    <cellStyle name="40% - Accent4" xfId="19" builtinId="43" customBuiltin="1"/>
    <cellStyle name="40% - Accent4 2" xfId="20" xr:uid="{00000000-0005-0000-0000-000013000000}"/>
    <cellStyle name="40% - Accent5" xfId="21" builtinId="47" customBuiltin="1"/>
    <cellStyle name="40% - Accent5 2" xfId="22" xr:uid="{00000000-0005-0000-0000-000015000000}"/>
    <cellStyle name="40% - Accent6" xfId="23" builtinId="51" customBuiltin="1"/>
    <cellStyle name="40% - Accent6 2" xfId="24" xr:uid="{00000000-0005-0000-0000-000017000000}"/>
    <cellStyle name="60% - Accent1" xfId="25" builtinId="32" customBuiltin="1"/>
    <cellStyle name="60% - Accent1 2" xfId="26" xr:uid="{00000000-0005-0000-0000-000019000000}"/>
    <cellStyle name="60% - Accent2" xfId="27" builtinId="36" customBuiltin="1"/>
    <cellStyle name="60% - Accent2 2" xfId="28" xr:uid="{00000000-0005-0000-0000-00001B000000}"/>
    <cellStyle name="60% - Accent3" xfId="29" builtinId="40" customBuiltin="1"/>
    <cellStyle name="60% - Accent3 2" xfId="30" xr:uid="{00000000-0005-0000-0000-00001D000000}"/>
    <cellStyle name="60% - Accent4" xfId="31" builtinId="44" customBuiltin="1"/>
    <cellStyle name="60% - Accent4 2" xfId="32" xr:uid="{00000000-0005-0000-0000-00001F000000}"/>
    <cellStyle name="60% - Accent5" xfId="33" builtinId="48" customBuiltin="1"/>
    <cellStyle name="60% - Accent5 2" xfId="34" xr:uid="{00000000-0005-0000-0000-000021000000}"/>
    <cellStyle name="60% - Accent6" xfId="35" builtinId="52" customBuiltin="1"/>
    <cellStyle name="60% - Accent6 2" xfId="36" xr:uid="{00000000-0005-0000-0000-000023000000}"/>
    <cellStyle name="Accent1" xfId="37" builtinId="29" customBuiltin="1"/>
    <cellStyle name="Accent1 2" xfId="38" xr:uid="{00000000-0005-0000-0000-000025000000}"/>
    <cellStyle name="Accent2" xfId="39" builtinId="33" customBuiltin="1"/>
    <cellStyle name="Accent2 2" xfId="40" xr:uid="{00000000-0005-0000-0000-000027000000}"/>
    <cellStyle name="Accent3" xfId="41" builtinId="37" customBuiltin="1"/>
    <cellStyle name="Accent3 2" xfId="42" xr:uid="{00000000-0005-0000-0000-000029000000}"/>
    <cellStyle name="Accent4" xfId="43" builtinId="41" customBuiltin="1"/>
    <cellStyle name="Accent4 2" xfId="44" xr:uid="{00000000-0005-0000-0000-00002B000000}"/>
    <cellStyle name="Accent5" xfId="45" builtinId="45" customBuiltin="1"/>
    <cellStyle name="Accent5 2" xfId="46" xr:uid="{00000000-0005-0000-0000-00002D000000}"/>
    <cellStyle name="Accent6" xfId="47" builtinId="49" customBuiltin="1"/>
    <cellStyle name="Accent6 2" xfId="48" xr:uid="{00000000-0005-0000-0000-00002F000000}"/>
    <cellStyle name="Bad" xfId="49" builtinId="27" customBuiltin="1"/>
    <cellStyle name="Bad 2" xfId="50" xr:uid="{00000000-0005-0000-0000-000031000000}"/>
    <cellStyle name="C00A" xfId="51" xr:uid="{00000000-0005-0000-0000-000032000000}"/>
    <cellStyle name="C00B" xfId="52" xr:uid="{00000000-0005-0000-0000-000033000000}"/>
    <cellStyle name="C00L" xfId="53" xr:uid="{00000000-0005-0000-0000-000034000000}"/>
    <cellStyle name="C01A" xfId="54" xr:uid="{00000000-0005-0000-0000-000035000000}"/>
    <cellStyle name="C01B" xfId="55" xr:uid="{00000000-0005-0000-0000-000036000000}"/>
    <cellStyle name="C01H" xfId="56" xr:uid="{00000000-0005-0000-0000-000037000000}"/>
    <cellStyle name="C01L" xfId="57" xr:uid="{00000000-0005-0000-0000-000038000000}"/>
    <cellStyle name="C02A" xfId="58" xr:uid="{00000000-0005-0000-0000-000039000000}"/>
    <cellStyle name="C02B" xfId="59" xr:uid="{00000000-0005-0000-0000-00003A000000}"/>
    <cellStyle name="C02H" xfId="60" xr:uid="{00000000-0005-0000-0000-00003B000000}"/>
    <cellStyle name="C02L" xfId="61" xr:uid="{00000000-0005-0000-0000-00003C000000}"/>
    <cellStyle name="C03A" xfId="62" xr:uid="{00000000-0005-0000-0000-00003D000000}"/>
    <cellStyle name="C03B" xfId="63" xr:uid="{00000000-0005-0000-0000-00003E000000}"/>
    <cellStyle name="C03H" xfId="64" xr:uid="{00000000-0005-0000-0000-00003F000000}"/>
    <cellStyle name="C03L" xfId="65" xr:uid="{00000000-0005-0000-0000-000040000000}"/>
    <cellStyle name="C04A" xfId="66" xr:uid="{00000000-0005-0000-0000-000041000000}"/>
    <cellStyle name="C04B" xfId="67" xr:uid="{00000000-0005-0000-0000-000042000000}"/>
    <cellStyle name="C04H" xfId="68" xr:uid="{00000000-0005-0000-0000-000043000000}"/>
    <cellStyle name="C04L" xfId="69" xr:uid="{00000000-0005-0000-0000-000044000000}"/>
    <cellStyle name="C05A" xfId="70" xr:uid="{00000000-0005-0000-0000-000045000000}"/>
    <cellStyle name="C05B" xfId="71" xr:uid="{00000000-0005-0000-0000-000046000000}"/>
    <cellStyle name="C05H" xfId="72" xr:uid="{00000000-0005-0000-0000-000047000000}"/>
    <cellStyle name="C05L" xfId="73" xr:uid="{00000000-0005-0000-0000-000048000000}"/>
    <cellStyle name="C06A" xfId="74" xr:uid="{00000000-0005-0000-0000-000049000000}"/>
    <cellStyle name="C06B" xfId="75" xr:uid="{00000000-0005-0000-0000-00004A000000}"/>
    <cellStyle name="C06H" xfId="76" xr:uid="{00000000-0005-0000-0000-00004B000000}"/>
    <cellStyle name="C06L" xfId="77" xr:uid="{00000000-0005-0000-0000-00004C000000}"/>
    <cellStyle name="C07A" xfId="78" xr:uid="{00000000-0005-0000-0000-00004D000000}"/>
    <cellStyle name="C07B" xfId="79" xr:uid="{00000000-0005-0000-0000-00004E000000}"/>
    <cellStyle name="C07H" xfId="80" xr:uid="{00000000-0005-0000-0000-00004F000000}"/>
    <cellStyle name="C07L" xfId="81" xr:uid="{00000000-0005-0000-0000-000050000000}"/>
    <cellStyle name="Calculation" xfId="82" builtinId="22" customBuiltin="1"/>
    <cellStyle name="Calculation 2" xfId="83" xr:uid="{00000000-0005-0000-0000-000052000000}"/>
    <cellStyle name="Check Cell" xfId="84" builtinId="23" customBuiltin="1"/>
    <cellStyle name="Check Cell 2" xfId="85" xr:uid="{00000000-0005-0000-0000-000054000000}"/>
    <cellStyle name="Comma" xfId="86" builtinId="3"/>
    <cellStyle name="Comma 12 2" xfId="87" xr:uid="{00000000-0005-0000-0000-000056000000}"/>
    <cellStyle name="Comma 2" xfId="88" xr:uid="{00000000-0005-0000-0000-000057000000}"/>
    <cellStyle name="Comma 2 2" xfId="89" xr:uid="{00000000-0005-0000-0000-000058000000}"/>
    <cellStyle name="Comma 2 3" xfId="333" xr:uid="{C0A369C0-7B6E-401C-BE5B-5A65CDF64CBD}"/>
    <cellStyle name="Comma 3" xfId="90" xr:uid="{00000000-0005-0000-0000-000059000000}"/>
    <cellStyle name="Comma 3 2" xfId="91" xr:uid="{00000000-0005-0000-0000-00005A000000}"/>
    <cellStyle name="Comma 3 3" xfId="92" xr:uid="{00000000-0005-0000-0000-00005B000000}"/>
    <cellStyle name="Comma 3 3 2" xfId="93" xr:uid="{00000000-0005-0000-0000-00005C000000}"/>
    <cellStyle name="Comma 3 3 3" xfId="94" xr:uid="{00000000-0005-0000-0000-00005D000000}"/>
    <cellStyle name="Comma 3 4" xfId="95" xr:uid="{00000000-0005-0000-0000-00005E000000}"/>
    <cellStyle name="Comma 3 4 2" xfId="96" xr:uid="{00000000-0005-0000-0000-00005F000000}"/>
    <cellStyle name="Comma 3 4 3" xfId="97" xr:uid="{00000000-0005-0000-0000-000060000000}"/>
    <cellStyle name="Comma 3 5" xfId="98" xr:uid="{00000000-0005-0000-0000-000061000000}"/>
    <cellStyle name="Comma 3 5 2" xfId="99" xr:uid="{00000000-0005-0000-0000-000062000000}"/>
    <cellStyle name="Comma 3 6" xfId="100" xr:uid="{00000000-0005-0000-0000-000063000000}"/>
    <cellStyle name="Comma 3 7" xfId="101" xr:uid="{00000000-0005-0000-0000-000064000000}"/>
    <cellStyle name="Comma 4 2" xfId="102" xr:uid="{00000000-0005-0000-0000-000065000000}"/>
    <cellStyle name="Comma 4 2 2" xfId="103" xr:uid="{00000000-0005-0000-0000-000066000000}"/>
    <cellStyle name="Comma 4 3" xfId="104" xr:uid="{00000000-0005-0000-0000-000067000000}"/>
    <cellStyle name="Comma 5 2" xfId="105" xr:uid="{00000000-0005-0000-0000-000068000000}"/>
    <cellStyle name="Comma 6" xfId="106" xr:uid="{00000000-0005-0000-0000-000069000000}"/>
    <cellStyle name="Comma 6 2" xfId="107" xr:uid="{00000000-0005-0000-0000-00006A000000}"/>
    <cellStyle name="Comma 6 2 2" xfId="108" xr:uid="{00000000-0005-0000-0000-00006B000000}"/>
    <cellStyle name="Comma 6 3" xfId="109" xr:uid="{00000000-0005-0000-0000-00006C000000}"/>
    <cellStyle name="Comma 7" xfId="110" xr:uid="{00000000-0005-0000-0000-00006D000000}"/>
    <cellStyle name="Comma 9" xfId="111" xr:uid="{00000000-0005-0000-0000-00006E000000}"/>
    <cellStyle name="Comma_spp calc - revsd rev crd" xfId="112" xr:uid="{00000000-0005-0000-0000-00006F000000}"/>
    <cellStyle name="Comma_spp calc - revsd rev crd 2" xfId="113" xr:uid="{00000000-0005-0000-0000-000070000000}"/>
    <cellStyle name="Comma0" xfId="114" xr:uid="{00000000-0005-0000-0000-000071000000}"/>
    <cellStyle name="Currency" xfId="115" builtinId="4"/>
    <cellStyle name="Currency 2" xfId="116" xr:uid="{00000000-0005-0000-0000-000073000000}"/>
    <cellStyle name="Currency 2 2" xfId="117" xr:uid="{00000000-0005-0000-0000-000074000000}"/>
    <cellStyle name="Currency 3" xfId="118" xr:uid="{00000000-0005-0000-0000-000075000000}"/>
    <cellStyle name="Currency 3 2" xfId="119" xr:uid="{00000000-0005-0000-0000-000076000000}"/>
    <cellStyle name="Currency 3 3" xfId="120" xr:uid="{00000000-0005-0000-0000-000077000000}"/>
    <cellStyle name="Currency 3 3 2" xfId="121" xr:uid="{00000000-0005-0000-0000-000078000000}"/>
    <cellStyle name="Currency 3 3 3" xfId="122" xr:uid="{00000000-0005-0000-0000-000079000000}"/>
    <cellStyle name="Currency 3 4" xfId="123" xr:uid="{00000000-0005-0000-0000-00007A000000}"/>
    <cellStyle name="Currency 3 4 2" xfId="124" xr:uid="{00000000-0005-0000-0000-00007B000000}"/>
    <cellStyle name="Currency 3 4 3" xfId="125" xr:uid="{00000000-0005-0000-0000-00007C000000}"/>
    <cellStyle name="Currency 3 5" xfId="126" xr:uid="{00000000-0005-0000-0000-00007D000000}"/>
    <cellStyle name="Currency 3 5 2" xfId="127" xr:uid="{00000000-0005-0000-0000-00007E000000}"/>
    <cellStyle name="Currency 3 6" xfId="128" xr:uid="{00000000-0005-0000-0000-00007F000000}"/>
    <cellStyle name="Currency 4 2" xfId="129" xr:uid="{00000000-0005-0000-0000-000080000000}"/>
    <cellStyle name="Currency 4 2 2" xfId="130" xr:uid="{00000000-0005-0000-0000-000081000000}"/>
    <cellStyle name="Currency 4 3" xfId="131" xr:uid="{00000000-0005-0000-0000-000082000000}"/>
    <cellStyle name="Currency 5 2" xfId="132" xr:uid="{00000000-0005-0000-0000-000083000000}"/>
    <cellStyle name="Currency 6" xfId="133" xr:uid="{00000000-0005-0000-0000-000084000000}"/>
    <cellStyle name="Currency0" xfId="134" xr:uid="{00000000-0005-0000-0000-000085000000}"/>
    <cellStyle name="Date" xfId="135" xr:uid="{00000000-0005-0000-0000-000086000000}"/>
    <cellStyle name="Explanatory Text" xfId="136" builtinId="53" customBuiltin="1"/>
    <cellStyle name="Explanatory Text 2" xfId="137" xr:uid="{00000000-0005-0000-0000-000088000000}"/>
    <cellStyle name="Fixed" xfId="138" xr:uid="{00000000-0005-0000-0000-000089000000}"/>
    <cellStyle name="Good" xfId="139" builtinId="26" customBuiltin="1"/>
    <cellStyle name="Good 2" xfId="140" xr:uid="{00000000-0005-0000-0000-00008B000000}"/>
    <cellStyle name="Heading 1" xfId="141" builtinId="16" customBuiltin="1"/>
    <cellStyle name="Heading 1 2" xfId="142" xr:uid="{00000000-0005-0000-0000-00008D000000}"/>
    <cellStyle name="Heading 2" xfId="143" builtinId="17" customBuiltin="1"/>
    <cellStyle name="Heading 2 2" xfId="144" xr:uid="{00000000-0005-0000-0000-00008F000000}"/>
    <cellStyle name="Heading 3" xfId="145" builtinId="18" customBuiltin="1"/>
    <cellStyle name="Heading 3 2" xfId="146" xr:uid="{00000000-0005-0000-0000-000091000000}"/>
    <cellStyle name="Heading 4" xfId="147" builtinId="19" customBuiltin="1"/>
    <cellStyle name="Heading 4 2" xfId="148" xr:uid="{00000000-0005-0000-0000-000093000000}"/>
    <cellStyle name="Heading1" xfId="149" xr:uid="{00000000-0005-0000-0000-000094000000}"/>
    <cellStyle name="Heading2" xfId="150" xr:uid="{00000000-0005-0000-0000-000095000000}"/>
    <cellStyle name="Input" xfId="151" builtinId="20" customBuiltin="1"/>
    <cellStyle name="Input 2" xfId="152" xr:uid="{00000000-0005-0000-0000-000097000000}"/>
    <cellStyle name="Linked Cell" xfId="153" builtinId="24" customBuiltin="1"/>
    <cellStyle name="Linked Cell 2" xfId="154" xr:uid="{00000000-0005-0000-0000-000099000000}"/>
    <cellStyle name="Neutral" xfId="155" builtinId="28" customBuiltin="1"/>
    <cellStyle name="Neutral 2" xfId="156" xr:uid="{00000000-0005-0000-0000-00009B000000}"/>
    <cellStyle name="Normal" xfId="0" builtinId="0"/>
    <cellStyle name="Normal 10" xfId="157" xr:uid="{00000000-0005-0000-0000-00009D000000}"/>
    <cellStyle name="Normal 10 2" xfId="158" xr:uid="{00000000-0005-0000-0000-00009E000000}"/>
    <cellStyle name="Normal 10 3" xfId="159" xr:uid="{00000000-0005-0000-0000-00009F000000}"/>
    <cellStyle name="Normal 10 4" xfId="160" xr:uid="{00000000-0005-0000-0000-0000A0000000}"/>
    <cellStyle name="Normal 11" xfId="161" xr:uid="{00000000-0005-0000-0000-0000A1000000}"/>
    <cellStyle name="Normal 11 2" xfId="162" xr:uid="{00000000-0005-0000-0000-0000A2000000}"/>
    <cellStyle name="Normal 11 3" xfId="163" xr:uid="{00000000-0005-0000-0000-0000A3000000}"/>
    <cellStyle name="Normal 11 4" xfId="164" xr:uid="{00000000-0005-0000-0000-0000A4000000}"/>
    <cellStyle name="Normal 12" xfId="165" xr:uid="{00000000-0005-0000-0000-0000A5000000}"/>
    <cellStyle name="Normal 12 2" xfId="166" xr:uid="{00000000-0005-0000-0000-0000A6000000}"/>
    <cellStyle name="Normal 12 4" xfId="167" xr:uid="{00000000-0005-0000-0000-0000A7000000}"/>
    <cellStyle name="Normal 13" xfId="168" xr:uid="{00000000-0005-0000-0000-0000A8000000}"/>
    <cellStyle name="Normal 13 2" xfId="169" xr:uid="{00000000-0005-0000-0000-0000A9000000}"/>
    <cellStyle name="Normal 14" xfId="170" xr:uid="{00000000-0005-0000-0000-0000AA000000}"/>
    <cellStyle name="Normal 14 2" xfId="171" xr:uid="{00000000-0005-0000-0000-0000AB000000}"/>
    <cellStyle name="Normal 15" xfId="172" xr:uid="{00000000-0005-0000-0000-0000AC000000}"/>
    <cellStyle name="Normal 16" xfId="173" xr:uid="{00000000-0005-0000-0000-0000AD000000}"/>
    <cellStyle name="Normal 16 2" xfId="174" xr:uid="{00000000-0005-0000-0000-0000AE000000}"/>
    <cellStyle name="Normal 17" xfId="175" xr:uid="{00000000-0005-0000-0000-0000AF000000}"/>
    <cellStyle name="Normal 17 2" xfId="176" xr:uid="{00000000-0005-0000-0000-0000B0000000}"/>
    <cellStyle name="Normal 18" xfId="177" xr:uid="{00000000-0005-0000-0000-0000B1000000}"/>
    <cellStyle name="Normal 18 2" xfId="178" xr:uid="{00000000-0005-0000-0000-0000B2000000}"/>
    <cellStyle name="Normal 19" xfId="179" xr:uid="{00000000-0005-0000-0000-0000B3000000}"/>
    <cellStyle name="Normal 19 2" xfId="180" xr:uid="{00000000-0005-0000-0000-0000B4000000}"/>
    <cellStyle name="Normal 2" xfId="181" xr:uid="{00000000-0005-0000-0000-0000B5000000}"/>
    <cellStyle name="Normal 2 2" xfId="182" xr:uid="{00000000-0005-0000-0000-0000B6000000}"/>
    <cellStyle name="Normal 2 2 2" xfId="183" xr:uid="{00000000-0005-0000-0000-0000B7000000}"/>
    <cellStyle name="Normal 2 2 3" xfId="184" xr:uid="{00000000-0005-0000-0000-0000B8000000}"/>
    <cellStyle name="Normal 2 2 4" xfId="185" xr:uid="{00000000-0005-0000-0000-0000B9000000}"/>
    <cellStyle name="Normal 2 3" xfId="186" xr:uid="{00000000-0005-0000-0000-0000BA000000}"/>
    <cellStyle name="Normal 2 4" xfId="332" xr:uid="{19C74C8B-74E8-438E-98CE-B9318F524086}"/>
    <cellStyle name="Normal 2 5" xfId="187" xr:uid="{00000000-0005-0000-0000-0000BB000000}"/>
    <cellStyle name="Normal 2 5 2" xfId="188" xr:uid="{00000000-0005-0000-0000-0000BC000000}"/>
    <cellStyle name="Normal 20" xfId="189" xr:uid="{00000000-0005-0000-0000-0000BD000000}"/>
    <cellStyle name="Normal 20 2" xfId="190" xr:uid="{00000000-0005-0000-0000-0000BE000000}"/>
    <cellStyle name="Normal 21" xfId="191" xr:uid="{00000000-0005-0000-0000-0000BF000000}"/>
    <cellStyle name="Normal 21 2" xfId="192" xr:uid="{00000000-0005-0000-0000-0000C0000000}"/>
    <cellStyle name="Normal 22" xfId="193" xr:uid="{00000000-0005-0000-0000-0000C1000000}"/>
    <cellStyle name="Normal 22 2" xfId="194" xr:uid="{00000000-0005-0000-0000-0000C2000000}"/>
    <cellStyle name="Normal 23" xfId="195" xr:uid="{00000000-0005-0000-0000-0000C3000000}"/>
    <cellStyle name="Normal 23 2" xfId="196" xr:uid="{00000000-0005-0000-0000-0000C4000000}"/>
    <cellStyle name="Normal 24" xfId="197" xr:uid="{00000000-0005-0000-0000-0000C5000000}"/>
    <cellStyle name="Normal 24 2" xfId="198" xr:uid="{00000000-0005-0000-0000-0000C6000000}"/>
    <cellStyle name="Normal 25" xfId="199" xr:uid="{00000000-0005-0000-0000-0000C7000000}"/>
    <cellStyle name="Normal 25 2" xfId="200" xr:uid="{00000000-0005-0000-0000-0000C8000000}"/>
    <cellStyle name="Normal 26" xfId="201" xr:uid="{00000000-0005-0000-0000-0000C9000000}"/>
    <cellStyle name="Normal 26 2" xfId="202" xr:uid="{00000000-0005-0000-0000-0000CA000000}"/>
    <cellStyle name="Normal 27" xfId="203" xr:uid="{00000000-0005-0000-0000-0000CB000000}"/>
    <cellStyle name="Normal 28" xfId="204" xr:uid="{00000000-0005-0000-0000-0000CC000000}"/>
    <cellStyle name="Normal 29" xfId="205" xr:uid="{00000000-0005-0000-0000-0000CD000000}"/>
    <cellStyle name="Normal 3" xfId="206" xr:uid="{00000000-0005-0000-0000-0000CE000000}"/>
    <cellStyle name="Normal 3 2" xfId="207" xr:uid="{00000000-0005-0000-0000-0000CF000000}"/>
    <cellStyle name="Normal 3 3" xfId="208" xr:uid="{00000000-0005-0000-0000-0000D0000000}"/>
    <cellStyle name="Normal 3_Attach O, GG, Support -New Method 2-14-11" xfId="209" xr:uid="{00000000-0005-0000-0000-0000D1000000}"/>
    <cellStyle name="Normal 31" xfId="210" xr:uid="{00000000-0005-0000-0000-0000D2000000}"/>
    <cellStyle name="Normal 31 2" xfId="334" xr:uid="{60E8299D-4BAD-478C-9F64-2D8F46BC1140}"/>
    <cellStyle name="Normal 4" xfId="211" xr:uid="{00000000-0005-0000-0000-0000D3000000}"/>
    <cellStyle name="Normal 4 2" xfId="212" xr:uid="{00000000-0005-0000-0000-0000D4000000}"/>
    <cellStyle name="Normal 4 3" xfId="213" xr:uid="{00000000-0005-0000-0000-0000D5000000}"/>
    <cellStyle name="Normal 4 3 2" xfId="214" xr:uid="{00000000-0005-0000-0000-0000D6000000}"/>
    <cellStyle name="Normal 4 3 3" xfId="215" xr:uid="{00000000-0005-0000-0000-0000D7000000}"/>
    <cellStyle name="Normal 4 4" xfId="216" xr:uid="{00000000-0005-0000-0000-0000D8000000}"/>
    <cellStyle name="Normal 4 4 2" xfId="217" xr:uid="{00000000-0005-0000-0000-0000D9000000}"/>
    <cellStyle name="Normal 4 4 3" xfId="218" xr:uid="{00000000-0005-0000-0000-0000DA000000}"/>
    <cellStyle name="Normal 4 5" xfId="219" xr:uid="{00000000-0005-0000-0000-0000DB000000}"/>
    <cellStyle name="Normal 4 5 2" xfId="220" xr:uid="{00000000-0005-0000-0000-0000DC000000}"/>
    <cellStyle name="Normal 4 6" xfId="221" xr:uid="{00000000-0005-0000-0000-0000DD000000}"/>
    <cellStyle name="Normal 4 7" xfId="222" xr:uid="{00000000-0005-0000-0000-0000DE000000}"/>
    <cellStyle name="Normal 4_PBOP Exhibit 1" xfId="223" xr:uid="{00000000-0005-0000-0000-0000DF000000}"/>
    <cellStyle name="Normal 5" xfId="335" xr:uid="{5897BDBC-76A5-42ED-B56D-1A6B919D3546}"/>
    <cellStyle name="Normal 5 2" xfId="224" xr:uid="{00000000-0005-0000-0000-0000E0000000}"/>
    <cellStyle name="Normal 5 2 2" xfId="225" xr:uid="{00000000-0005-0000-0000-0000E1000000}"/>
    <cellStyle name="Normal 5 2 3" xfId="226" xr:uid="{00000000-0005-0000-0000-0000E2000000}"/>
    <cellStyle name="Normal 5 3" xfId="227" xr:uid="{00000000-0005-0000-0000-0000E3000000}"/>
    <cellStyle name="Normal 5 4" xfId="228" xr:uid="{00000000-0005-0000-0000-0000E4000000}"/>
    <cellStyle name="Normal 5 4 2" xfId="229" xr:uid="{00000000-0005-0000-0000-0000E5000000}"/>
    <cellStyle name="Normal 6 2" xfId="230" xr:uid="{00000000-0005-0000-0000-0000E6000000}"/>
    <cellStyle name="Normal 6 2 2" xfId="231" xr:uid="{00000000-0005-0000-0000-0000E7000000}"/>
    <cellStyle name="Normal 6 2 3" xfId="232" xr:uid="{00000000-0005-0000-0000-0000E8000000}"/>
    <cellStyle name="Normal 6 2 4" xfId="233" xr:uid="{00000000-0005-0000-0000-0000E9000000}"/>
    <cellStyle name="Normal 6 3" xfId="234" xr:uid="{00000000-0005-0000-0000-0000EA000000}"/>
    <cellStyle name="Normal 6 3 2" xfId="235" xr:uid="{00000000-0005-0000-0000-0000EB000000}"/>
    <cellStyle name="Normal 6 4" xfId="236" xr:uid="{00000000-0005-0000-0000-0000EC000000}"/>
    <cellStyle name="Normal 6 5" xfId="237" xr:uid="{00000000-0005-0000-0000-0000ED000000}"/>
    <cellStyle name="Normal 7" xfId="238" xr:uid="{00000000-0005-0000-0000-0000EE000000}"/>
    <cellStyle name="Normal 7 2" xfId="239" xr:uid="{00000000-0005-0000-0000-0000EF000000}"/>
    <cellStyle name="Normal 7 3" xfId="240" xr:uid="{00000000-0005-0000-0000-0000F0000000}"/>
    <cellStyle name="Normal 8" xfId="241" xr:uid="{00000000-0005-0000-0000-0000F1000000}"/>
    <cellStyle name="Normal 8 2" xfId="242" xr:uid="{00000000-0005-0000-0000-0000F2000000}"/>
    <cellStyle name="Normal 8 3" xfId="243" xr:uid="{00000000-0005-0000-0000-0000F3000000}"/>
    <cellStyle name="Normal 9" xfId="244" xr:uid="{00000000-0005-0000-0000-0000F4000000}"/>
    <cellStyle name="Normal 9 2" xfId="245" xr:uid="{00000000-0005-0000-0000-0000F5000000}"/>
    <cellStyle name="Normal 9 3" xfId="246" xr:uid="{00000000-0005-0000-0000-0000F6000000}"/>
    <cellStyle name="Normal_21 Exh B" xfId="247" xr:uid="{00000000-0005-0000-0000-0000F7000000}"/>
    <cellStyle name="Normal_ADITAnalysisID090805" xfId="248" xr:uid="{00000000-0005-0000-0000-0000F8000000}"/>
    <cellStyle name="Normal_ADITAnalysisID090805 2" xfId="249" xr:uid="{00000000-0005-0000-0000-0000F9000000}"/>
    <cellStyle name="Normal_ADITAnalysisID090805 2 2" xfId="250" xr:uid="{00000000-0005-0000-0000-0000FA000000}"/>
    <cellStyle name="Normal_ADITAnalysisID090805 2 3" xfId="336" xr:uid="{1B4AB017-AF4F-4152-A050-1AB6CD8199E5}"/>
    <cellStyle name="Normal_ADITAnalysisID090805 3" xfId="251" xr:uid="{00000000-0005-0000-0000-0000FB000000}"/>
    <cellStyle name="Normal_ATC Projected 2008 Monthly Plant Balances for Attachment O 2 (2)" xfId="252" xr:uid="{00000000-0005-0000-0000-0000FC000000}"/>
    <cellStyle name="Normal_AU Period 2 Rev 4-27-00" xfId="253" xr:uid="{00000000-0005-0000-0000-0000FD000000}"/>
    <cellStyle name="Normal_Copy of PATH Formula Rate 2010 Projection Filed Sept 1, 2009 R1" xfId="254" xr:uid="{00000000-0005-0000-0000-0000FE000000}"/>
    <cellStyle name="Normal_FN1 Ratebase Draft SPP template (6-11-04) v2" xfId="255" xr:uid="{00000000-0005-0000-0000-0000FF000000}"/>
    <cellStyle name="Normal_I&amp;M-AK-1" xfId="256" xr:uid="{00000000-0005-0000-0000-000000010000}"/>
    <cellStyle name="Normal_IM LTD Hedge Entries 2" xfId="257" xr:uid="{00000000-0005-0000-0000-000001010000}"/>
    <cellStyle name="Normal_Revised 1-21-10  Deprec Summary" xfId="258" xr:uid="{00000000-0005-0000-0000-000002010000}"/>
    <cellStyle name="Normal_Schedule O Info for Mike" xfId="259" xr:uid="{00000000-0005-0000-0000-000003010000}"/>
    <cellStyle name="Normal_spp calc - revsd rev crd" xfId="260" xr:uid="{00000000-0005-0000-0000-000004010000}"/>
    <cellStyle name="Normal_spp calc - revsd rev crd 2" xfId="261" xr:uid="{00000000-0005-0000-0000-000005010000}"/>
    <cellStyle name="Normal_Worksheet Q Draft dwb edits" xfId="262" xr:uid="{00000000-0005-0000-0000-000006010000}"/>
    <cellStyle name="Note" xfId="263" builtinId="10" customBuiltin="1"/>
    <cellStyle name="Note 2" xfId="264" xr:uid="{00000000-0005-0000-0000-000008010000}"/>
    <cellStyle name="Output" xfId="265" builtinId="21" customBuiltin="1"/>
    <cellStyle name="Output 2" xfId="266" xr:uid="{00000000-0005-0000-0000-00000A010000}"/>
    <cellStyle name="Percent" xfId="267" builtinId="5"/>
    <cellStyle name="Percent 2" xfId="268" xr:uid="{00000000-0005-0000-0000-00000C010000}"/>
    <cellStyle name="Percent 2 2" xfId="269" xr:uid="{00000000-0005-0000-0000-00000D010000}"/>
    <cellStyle name="Percent 3" xfId="270" xr:uid="{00000000-0005-0000-0000-00000E010000}"/>
    <cellStyle name="Percent 3 2" xfId="271" xr:uid="{00000000-0005-0000-0000-00000F010000}"/>
    <cellStyle name="Percent 3 2 2" xfId="337" xr:uid="{AAFE9AC3-08EB-4815-89BD-C486F4FA739C}"/>
    <cellStyle name="Percent 3 3" xfId="272" xr:uid="{00000000-0005-0000-0000-000010010000}"/>
    <cellStyle name="Percent 3 3 2" xfId="273" xr:uid="{00000000-0005-0000-0000-000011010000}"/>
    <cellStyle name="Percent 3 3 3" xfId="274" xr:uid="{00000000-0005-0000-0000-000012010000}"/>
    <cellStyle name="Percent 3 4" xfId="275" xr:uid="{00000000-0005-0000-0000-000013010000}"/>
    <cellStyle name="Percent 3 4 2" xfId="276" xr:uid="{00000000-0005-0000-0000-000014010000}"/>
    <cellStyle name="Percent 3 4 3" xfId="277" xr:uid="{00000000-0005-0000-0000-000015010000}"/>
    <cellStyle name="Percent 3 5" xfId="278" xr:uid="{00000000-0005-0000-0000-000016010000}"/>
    <cellStyle name="Percent 3 5 2" xfId="279" xr:uid="{00000000-0005-0000-0000-000017010000}"/>
    <cellStyle name="Percent 3 6" xfId="280" xr:uid="{00000000-0005-0000-0000-000018010000}"/>
    <cellStyle name="Percent 4 2" xfId="281" xr:uid="{00000000-0005-0000-0000-000019010000}"/>
    <cellStyle name="Percent 4 3" xfId="282" xr:uid="{00000000-0005-0000-0000-00001A010000}"/>
    <cellStyle name="Percent 4 3 2" xfId="283" xr:uid="{00000000-0005-0000-0000-00001B010000}"/>
    <cellStyle name="Percent 4 4" xfId="284" xr:uid="{00000000-0005-0000-0000-00001C010000}"/>
    <cellStyle name="Percent 5 2" xfId="285" xr:uid="{00000000-0005-0000-0000-00001D010000}"/>
    <cellStyle name="Percent 6" xfId="286" xr:uid="{00000000-0005-0000-0000-00001E010000}"/>
    <cellStyle name="PSChar" xfId="287" xr:uid="{00000000-0005-0000-0000-00001F010000}"/>
    <cellStyle name="PSDate" xfId="288" xr:uid="{00000000-0005-0000-0000-000020010000}"/>
    <cellStyle name="PSDec" xfId="289" xr:uid="{00000000-0005-0000-0000-000021010000}"/>
    <cellStyle name="PSdesc" xfId="290" xr:uid="{00000000-0005-0000-0000-000022010000}"/>
    <cellStyle name="PSHeading" xfId="291" xr:uid="{00000000-0005-0000-0000-000023010000}"/>
    <cellStyle name="PSInt" xfId="292" xr:uid="{00000000-0005-0000-0000-000024010000}"/>
    <cellStyle name="PSSpacer" xfId="293" xr:uid="{00000000-0005-0000-0000-000025010000}"/>
    <cellStyle name="PStest" xfId="294" xr:uid="{00000000-0005-0000-0000-000026010000}"/>
    <cellStyle name="R00A" xfId="295" xr:uid="{00000000-0005-0000-0000-000027010000}"/>
    <cellStyle name="R00B" xfId="296" xr:uid="{00000000-0005-0000-0000-000028010000}"/>
    <cellStyle name="R00L" xfId="297" xr:uid="{00000000-0005-0000-0000-000029010000}"/>
    <cellStyle name="R01A" xfId="298" xr:uid="{00000000-0005-0000-0000-00002A010000}"/>
    <cellStyle name="R01B" xfId="299" xr:uid="{00000000-0005-0000-0000-00002B010000}"/>
    <cellStyle name="R01H" xfId="300" xr:uid="{00000000-0005-0000-0000-00002C010000}"/>
    <cellStyle name="R01L" xfId="301" xr:uid="{00000000-0005-0000-0000-00002D010000}"/>
    <cellStyle name="R02A" xfId="302" xr:uid="{00000000-0005-0000-0000-00002E010000}"/>
    <cellStyle name="R02B" xfId="303" xr:uid="{00000000-0005-0000-0000-00002F010000}"/>
    <cellStyle name="R02H" xfId="304" xr:uid="{00000000-0005-0000-0000-000030010000}"/>
    <cellStyle name="R02L" xfId="305" xr:uid="{00000000-0005-0000-0000-000031010000}"/>
    <cellStyle name="R03A" xfId="306" xr:uid="{00000000-0005-0000-0000-000032010000}"/>
    <cellStyle name="R03B" xfId="307" xr:uid="{00000000-0005-0000-0000-000033010000}"/>
    <cellStyle name="R03H" xfId="308" xr:uid="{00000000-0005-0000-0000-000034010000}"/>
    <cellStyle name="R03L" xfId="309" xr:uid="{00000000-0005-0000-0000-000035010000}"/>
    <cellStyle name="R04A" xfId="310" xr:uid="{00000000-0005-0000-0000-000036010000}"/>
    <cellStyle name="R04B" xfId="311" xr:uid="{00000000-0005-0000-0000-000037010000}"/>
    <cellStyle name="R04H" xfId="312" xr:uid="{00000000-0005-0000-0000-000038010000}"/>
    <cellStyle name="R04L" xfId="313" xr:uid="{00000000-0005-0000-0000-000039010000}"/>
    <cellStyle name="R05A" xfId="314" xr:uid="{00000000-0005-0000-0000-00003A010000}"/>
    <cellStyle name="R05B" xfId="315" xr:uid="{00000000-0005-0000-0000-00003B010000}"/>
    <cellStyle name="R05H" xfId="316" xr:uid="{00000000-0005-0000-0000-00003C010000}"/>
    <cellStyle name="R05L" xfId="317" xr:uid="{00000000-0005-0000-0000-00003D010000}"/>
    <cellStyle name="R06A" xfId="318" xr:uid="{00000000-0005-0000-0000-00003E010000}"/>
    <cellStyle name="R06B" xfId="319" xr:uid="{00000000-0005-0000-0000-00003F010000}"/>
    <cellStyle name="R06H" xfId="320" xr:uid="{00000000-0005-0000-0000-000040010000}"/>
    <cellStyle name="R06L" xfId="321" xr:uid="{00000000-0005-0000-0000-000041010000}"/>
    <cellStyle name="R07A" xfId="322" xr:uid="{00000000-0005-0000-0000-000042010000}"/>
    <cellStyle name="R07B" xfId="323" xr:uid="{00000000-0005-0000-0000-000043010000}"/>
    <cellStyle name="R07H" xfId="324" xr:uid="{00000000-0005-0000-0000-000044010000}"/>
    <cellStyle name="R07L" xfId="325" xr:uid="{00000000-0005-0000-0000-000045010000}"/>
    <cellStyle name="Title" xfId="326" builtinId="15" customBuiltin="1"/>
    <cellStyle name="Title 2" xfId="327" xr:uid="{00000000-0005-0000-0000-000047010000}"/>
    <cellStyle name="Total" xfId="328" builtinId="25" customBuiltin="1"/>
    <cellStyle name="Total 2" xfId="329" xr:uid="{00000000-0005-0000-0000-000049010000}"/>
    <cellStyle name="Warning Text" xfId="330" builtinId="11" customBuiltin="1"/>
    <cellStyle name="Warning Text 2" xfId="331" xr:uid="{00000000-0005-0000-0000-00004B010000}"/>
  </cellStyles>
  <dxfs count="6">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35"/>
        </patternFill>
      </fill>
    </dxf>
    <dxf>
      <font>
        <condense val="0"/>
        <extend val="0"/>
        <color auto="1"/>
      </font>
      <fill>
        <patternFill>
          <bgColor indexed="13"/>
        </patternFill>
      </fill>
    </dxf>
    <dxf>
      <fill>
        <patternFill>
          <bgColor indexed="1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C0C0C0"/>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 Id="rId30" Type="http://schemas.openxmlformats.org/officeDocument/2006/relationships/customXml" Target="../customXml/item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dimension ref="A1:X1228"/>
  <sheetViews>
    <sheetView tabSelected="1" view="pageBreakPreview" topLeftCell="B1" zoomScale="70" zoomScaleNormal="70" zoomScaleSheetLayoutView="70" zoomScalePageLayoutView="50" workbookViewId="0">
      <selection activeCell="D9" sqref="D9"/>
    </sheetView>
  </sheetViews>
  <sheetFormatPr defaultColWidth="11.42578125" defaultRowHeight="15"/>
  <cols>
    <col min="1" max="1" width="4.7109375" style="155" customWidth="1"/>
    <col min="2" max="2" width="7.85546875" style="154" customWidth="1"/>
    <col min="3" max="3" width="1.85546875" style="155" customWidth="1"/>
    <col min="4" max="4" width="56" style="155" customWidth="1"/>
    <col min="5" max="5" width="51.5703125" style="155" customWidth="1"/>
    <col min="6" max="6" width="17.5703125" style="155" customWidth="1"/>
    <col min="7" max="7" width="20.7109375" style="155" customWidth="1"/>
    <col min="8" max="8" width="20" style="155" customWidth="1"/>
    <col min="9" max="9" width="11.28515625" style="155" customWidth="1"/>
    <col min="10" max="10" width="17" style="155" customWidth="1"/>
    <col min="11" max="11" width="11.140625" style="155" customWidth="1"/>
    <col min="12" max="12" width="21.140625" style="155" customWidth="1"/>
    <col min="13" max="13" width="17" style="155" customWidth="1"/>
    <col min="14" max="14" width="17.5703125" style="155" customWidth="1"/>
    <col min="15" max="15" width="11.140625" style="155" customWidth="1"/>
    <col min="16" max="16" width="21.85546875" style="155" customWidth="1"/>
    <col min="17" max="17" width="11.42578125" style="155" customWidth="1"/>
    <col min="18" max="18" width="20.5703125" style="155" bestFit="1" customWidth="1"/>
    <col min="19" max="16384" width="11.42578125" style="155"/>
  </cols>
  <sheetData>
    <row r="1" spans="1:16" ht="15.75">
      <c r="A1" s="1005" t="s">
        <v>406</v>
      </c>
    </row>
    <row r="2" spans="1:16" ht="15.75">
      <c r="A2" s="1005" t="s">
        <v>406</v>
      </c>
    </row>
    <row r="3" spans="1:16" ht="15.75">
      <c r="D3" s="156"/>
      <c r="E3" s="157"/>
      <c r="F3" s="157"/>
      <c r="G3" s="158"/>
      <c r="I3" s="159"/>
      <c r="J3" s="159"/>
      <c r="K3" s="159"/>
      <c r="L3" s="160"/>
      <c r="N3" s="155" t="s">
        <v>406</v>
      </c>
      <c r="O3" s="161" t="s">
        <v>406</v>
      </c>
      <c r="P3" s="155" t="s">
        <v>406</v>
      </c>
    </row>
    <row r="4" spans="1:16">
      <c r="I4" s="155" t="s">
        <v>546</v>
      </c>
      <c r="L4" s="420">
        <v>2025</v>
      </c>
    </row>
    <row r="5" spans="1:16">
      <c r="D5" s="162"/>
      <c r="E5" s="162"/>
      <c r="F5" s="163" t="s">
        <v>321</v>
      </c>
      <c r="G5" s="164"/>
      <c r="H5" s="164"/>
      <c r="J5" s="162"/>
      <c r="K5" s="165"/>
      <c r="L5" s="165"/>
      <c r="M5" s="166"/>
      <c r="O5" s="167"/>
    </row>
    <row r="6" spans="1:16">
      <c r="D6" s="162"/>
      <c r="E6" s="168"/>
      <c r="F6" s="163" t="s">
        <v>195</v>
      </c>
      <c r="G6" s="164"/>
      <c r="H6" s="164"/>
      <c r="J6" s="168"/>
      <c r="K6" s="165"/>
      <c r="L6" s="165"/>
      <c r="M6" s="166"/>
    </row>
    <row r="7" spans="1:16">
      <c r="D7" s="165"/>
      <c r="E7" s="165"/>
      <c r="F7" s="169" t="str">
        <f>"Utilizing  Actual/Projected FERC Form 1 Data"</f>
        <v>Utilizing  Actual/Projected FERC Form 1 Data</v>
      </c>
      <c r="G7" s="164"/>
      <c r="H7" s="164"/>
      <c r="J7" s="165"/>
      <c r="K7" s="165"/>
      <c r="L7" s="165"/>
      <c r="M7" s="166"/>
    </row>
    <row r="8" spans="1:16">
      <c r="B8" s="170"/>
      <c r="C8" s="171"/>
      <c r="D8" s="165"/>
      <c r="H8" s="172"/>
      <c r="I8" s="172"/>
      <c r="J8" s="172"/>
      <c r="K8" s="172"/>
      <c r="L8" s="165"/>
      <c r="M8" s="165"/>
    </row>
    <row r="9" spans="1:16" ht="15.75">
      <c r="B9" s="170"/>
      <c r="C9" s="171"/>
      <c r="D9" s="173"/>
      <c r="E9" s="165"/>
      <c r="F9" s="174" t="s">
        <v>801</v>
      </c>
      <c r="G9" s="175"/>
      <c r="H9" s="165"/>
      <c r="I9" s="165"/>
      <c r="J9" s="165"/>
      <c r="K9" s="165"/>
      <c r="L9" s="173"/>
      <c r="M9" s="165"/>
    </row>
    <row r="10" spans="1:16">
      <c r="B10" s="170"/>
      <c r="C10" s="171"/>
      <c r="D10" s="165"/>
      <c r="E10" s="165"/>
      <c r="F10" s="176"/>
      <c r="G10" s="175"/>
      <c r="H10" s="165"/>
      <c r="I10" s="165"/>
      <c r="J10" s="165"/>
      <c r="K10" s="165"/>
      <c r="L10" s="173"/>
      <c r="M10" s="165"/>
    </row>
    <row r="11" spans="1:16">
      <c r="B11" s="170" t="s">
        <v>459</v>
      </c>
      <c r="C11" s="171"/>
      <c r="D11" s="165"/>
      <c r="E11" s="165"/>
      <c r="F11" s="165"/>
      <c r="G11" s="175"/>
      <c r="H11" s="165"/>
      <c r="I11" s="165"/>
      <c r="J11" s="165"/>
      <c r="K11" s="165"/>
      <c r="L11" s="171" t="s">
        <v>407</v>
      </c>
      <c r="M11" s="165"/>
    </row>
    <row r="12" spans="1:16" ht="15.75" thickBot="1">
      <c r="B12" s="177" t="s">
        <v>409</v>
      </c>
      <c r="C12" s="178"/>
      <c r="D12" s="165"/>
      <c r="E12" s="178"/>
      <c r="F12" s="165"/>
      <c r="G12" s="165"/>
      <c r="H12" s="165"/>
      <c r="I12" s="165"/>
      <c r="J12" s="165"/>
      <c r="K12" s="165"/>
      <c r="L12" s="179" t="s">
        <v>460</v>
      </c>
      <c r="M12" s="165"/>
    </row>
    <row r="13" spans="1:16">
      <c r="B13" s="170">
        <v>1</v>
      </c>
      <c r="C13" s="171"/>
      <c r="D13" s="180" t="s">
        <v>403</v>
      </c>
      <c r="E13" s="181" t="str">
        <f>"(ln "&amp;B191&amp;")"</f>
        <v>(ln 113)</v>
      </c>
      <c r="F13" s="181"/>
      <c r="G13" s="182"/>
      <c r="H13" s="183"/>
      <c r="I13" s="165"/>
      <c r="J13" s="165"/>
      <c r="K13" s="165"/>
      <c r="L13" s="184">
        <f>+L191</f>
        <v>20966885.169530723</v>
      </c>
      <c r="M13" s="165"/>
    </row>
    <row r="14" spans="1:16" ht="15.75" thickBot="1">
      <c r="B14" s="170"/>
      <c r="C14" s="171"/>
      <c r="E14" s="185"/>
      <c r="F14" s="186"/>
      <c r="G14" s="179" t="s">
        <v>410</v>
      </c>
      <c r="H14" s="168"/>
      <c r="I14" s="187" t="s">
        <v>411</v>
      </c>
      <c r="J14" s="187"/>
      <c r="K14" s="165"/>
      <c r="L14" s="182"/>
      <c r="M14" s="165"/>
    </row>
    <row r="15" spans="1:16">
      <c r="B15" s="170">
        <f>+B13+1</f>
        <v>2</v>
      </c>
      <c r="C15" s="171"/>
      <c r="D15" s="188" t="s">
        <v>458</v>
      </c>
      <c r="E15" s="185" t="str">
        <f>"(Worksheet E,  ln  "&amp;'WS E Rev Credits'!A31&amp;") (Note A) "</f>
        <v xml:space="preserve">(Worksheet E,  ln  8) (Note A) </v>
      </c>
      <c r="F15" s="186"/>
      <c r="G15" s="189">
        <f>+'WS E Rev Credits'!K31</f>
        <v>0</v>
      </c>
      <c r="H15" s="186"/>
      <c r="I15" s="190" t="s">
        <v>420</v>
      </c>
      <c r="J15" s="191">
        <v>1</v>
      </c>
      <c r="K15" s="168"/>
      <c r="L15" s="192">
        <f>+J15*G15</f>
        <v>0</v>
      </c>
      <c r="M15" s="165"/>
    </row>
    <row r="16" spans="1:16">
      <c r="B16" s="170"/>
      <c r="C16" s="171"/>
      <c r="D16" s="188"/>
      <c r="E16" s="185"/>
      <c r="F16" s="186"/>
      <c r="G16" s="189"/>
      <c r="H16" s="186"/>
      <c r="I16" s="190"/>
      <c r="J16" s="191"/>
      <c r="K16" s="168"/>
      <c r="L16" s="192"/>
      <c r="M16" s="165"/>
    </row>
    <row r="17" spans="2:13">
      <c r="B17" s="193">
        <f>+B15+1</f>
        <v>3</v>
      </c>
      <c r="C17" s="171"/>
      <c r="D17" s="188" t="s">
        <v>547</v>
      </c>
      <c r="E17" s="155" t="str">
        <f>"Worksheet E, ln "&amp;'WS E Rev Credits'!A33&amp;") (Note X) "</f>
        <v xml:space="preserve">Worksheet E, ln 9) (Note X) </v>
      </c>
      <c r="F17" s="168"/>
      <c r="L17" s="161">
        <f>'WS E Rev Credits'!K33</f>
        <v>0</v>
      </c>
      <c r="M17" s="165"/>
    </row>
    <row r="18" spans="2:13" ht="30.75" thickBot="1">
      <c r="B18" s="193">
        <f>+B17+1</f>
        <v>4</v>
      </c>
      <c r="C18" s="194"/>
      <c r="D18" s="195" t="s">
        <v>244</v>
      </c>
      <c r="E18" s="196" t="str">
        <f>"(ln "&amp;B13&amp;"  less ln " &amp;B15&amp;" plus ln 3)"</f>
        <v>(ln 1  less ln 2 plus ln 3)</v>
      </c>
      <c r="F18" s="165"/>
      <c r="H18" s="168"/>
      <c r="I18" s="197"/>
      <c r="J18" s="168"/>
      <c r="K18" s="168"/>
      <c r="L18" s="198">
        <f>+L13-L15+L17</f>
        <v>20966885.169530723</v>
      </c>
      <c r="M18" s="165"/>
    </row>
    <row r="19" spans="2:13" ht="15.75" thickTop="1">
      <c r="B19" s="193"/>
      <c r="C19" s="194"/>
      <c r="D19" s="188"/>
      <c r="E19" s="196"/>
      <c r="F19" s="165"/>
      <c r="H19" s="168"/>
      <c r="I19" s="197"/>
      <c r="J19" s="168"/>
      <c r="K19" s="168"/>
      <c r="L19" s="199"/>
      <c r="M19" s="165"/>
    </row>
    <row r="20" spans="2:13">
      <c r="B20" s="193"/>
      <c r="C20" s="194"/>
      <c r="D20" s="188"/>
      <c r="E20" s="196"/>
      <c r="F20" s="165"/>
      <c r="H20" s="168"/>
      <c r="I20" s="197"/>
      <c r="J20" s="168"/>
      <c r="K20" s="168"/>
      <c r="L20" s="199"/>
      <c r="M20" s="165"/>
    </row>
    <row r="21" spans="2:13" ht="15" customHeight="1">
      <c r="B21" s="1473" t="str">
        <f>"MEMO:  The Carrying Charge Calculations on lines "&amp;B27&amp;" to "&amp;B34&amp;" below are used in calculating project revenue requirements billed through PJM Schedule 12, Transmission Enhancement Charges.  The total non-incentive revenue requirements for these projects shown on line "&amp;B24&amp;" is included in the total on line "&amp;B18&amp;"."</f>
        <v>MEMO:  The Carrying Charge Calculations on lines 7 to 12 below are used in calculating project revenue requirements billed through PJM Schedule 12, Transmission Enhancement Charges.  The total non-incentive revenue requirements for these projects shown on line 5 is included in the total on line 4.</v>
      </c>
      <c r="C21" s="1473"/>
      <c r="D21" s="1473"/>
      <c r="E21" s="1473"/>
      <c r="F21" s="1473"/>
      <c r="G21" s="1473"/>
      <c r="H21" s="1473"/>
      <c r="I21" s="1473"/>
    </row>
    <row r="22" spans="2:13" ht="35.25" customHeight="1">
      <c r="B22" s="1473"/>
      <c r="C22" s="1473"/>
      <c r="D22" s="1473"/>
      <c r="E22" s="1473"/>
      <c r="F22" s="1473"/>
      <c r="G22" s="1473"/>
      <c r="H22" s="1473"/>
      <c r="I22" s="1473"/>
    </row>
    <row r="23" spans="2:13" ht="15" customHeight="1">
      <c r="B23" s="200"/>
      <c r="C23" s="200"/>
      <c r="D23" s="200"/>
      <c r="E23" s="200"/>
      <c r="F23" s="200"/>
      <c r="G23" s="200"/>
      <c r="H23" s="200"/>
      <c r="I23" s="200"/>
    </row>
    <row r="24" spans="2:13">
      <c r="B24" s="170">
        <f>+B18+1</f>
        <v>5</v>
      </c>
      <c r="C24" s="194"/>
      <c r="D24" s="201" t="s">
        <v>548</v>
      </c>
      <c r="E24" s="185"/>
      <c r="F24" s="186"/>
      <c r="G24" s="1242">
        <f>+'WS J PROJECTED RTEP RR'!M26</f>
        <v>0</v>
      </c>
      <c r="H24" s="186"/>
      <c r="I24" s="190" t="s">
        <v>420</v>
      </c>
      <c r="J24" s="191">
        <v>1</v>
      </c>
      <c r="K24" s="181"/>
      <c r="L24" s="202">
        <f>+J24*G24</f>
        <v>0</v>
      </c>
      <c r="M24" s="165"/>
    </row>
    <row r="25" spans="2:13">
      <c r="B25" s="170"/>
      <c r="C25" s="194"/>
      <c r="D25" s="201"/>
      <c r="E25" s="196"/>
      <c r="F25" s="186"/>
      <c r="G25" s="203"/>
      <c r="H25" s="186"/>
      <c r="I25" s="186"/>
      <c r="J25" s="191"/>
      <c r="K25" s="181"/>
      <c r="L25" s="202"/>
      <c r="M25" s="165"/>
    </row>
    <row r="26" spans="2:13">
      <c r="B26" s="193">
        <f>+B24+1</f>
        <v>6</v>
      </c>
      <c r="C26" s="194"/>
      <c r="D26" s="201" t="s">
        <v>168</v>
      </c>
      <c r="E26" s="185"/>
      <c r="F26" s="165"/>
      <c r="G26" s="204"/>
      <c r="H26" s="165"/>
      <c r="J26" s="165"/>
      <c r="K26" s="165"/>
      <c r="M26" s="165"/>
    </row>
    <row r="27" spans="2:13">
      <c r="B27" s="170">
        <f>B26+1</f>
        <v>7</v>
      </c>
      <c r="C27" s="194"/>
      <c r="D27" s="205" t="s">
        <v>41</v>
      </c>
      <c r="E27" s="181" t="str">
        <f>"( (ln "&amp;B13&amp;"- ln "&amp;B150&amp;")/((ln "&amp;$B$79&amp;" ) x 100) )"</f>
        <v>( (ln 1- ln 80)/((ln 33 ) x 100) )</v>
      </c>
      <c r="F27" s="171"/>
      <c r="G27" s="171"/>
      <c r="H27" s="171"/>
      <c r="I27" s="206"/>
      <c r="J27" s="206"/>
      <c r="K27" s="206"/>
      <c r="L27" s="207">
        <f>IF((L79)=0,0,(L13-L150)/(L79))</f>
        <v>0.15444164839764346</v>
      </c>
      <c r="M27" s="165"/>
    </row>
    <row r="28" spans="2:13">
      <c r="B28" s="170">
        <f>B27+1</f>
        <v>8</v>
      </c>
      <c r="C28" s="194"/>
      <c r="D28" s="205" t="s">
        <v>42</v>
      </c>
      <c r="E28" s="181" t="str">
        <f>"(ln "&amp;B27&amp;" / 12)"</f>
        <v>(ln 7 / 12)</v>
      </c>
      <c r="F28" s="171"/>
      <c r="G28" s="171"/>
      <c r="H28" s="171"/>
      <c r="I28" s="206"/>
      <c r="J28" s="206"/>
      <c r="K28" s="206"/>
      <c r="L28" s="208">
        <f>L27/12</f>
        <v>1.2870137366470288E-2</v>
      </c>
      <c r="M28" s="165"/>
    </row>
    <row r="29" spans="2:13">
      <c r="B29" s="170"/>
      <c r="C29" s="194"/>
      <c r="D29" s="205"/>
      <c r="E29" s="181"/>
      <c r="F29" s="171"/>
      <c r="G29" s="171"/>
      <c r="H29" s="171"/>
      <c r="I29" s="206"/>
      <c r="J29" s="206"/>
      <c r="K29" s="206"/>
      <c r="L29" s="208"/>
      <c r="M29" s="165"/>
    </row>
    <row r="30" spans="2:13">
      <c r="B30" s="170">
        <f>B28+1</f>
        <v>9</v>
      </c>
      <c r="C30" s="194"/>
      <c r="D30" s="201" t="str">
        <f>"NET PLANT CARRYING CHARGE ON LINE "&amp;B27&amp;" , w/o depreciation or ROE incentives (Note B)"</f>
        <v>NET PLANT CARRYING CHARGE ON LINE 7 , w/o depreciation or ROE incentives (Note B)</v>
      </c>
      <c r="E30" s="181"/>
      <c r="F30" s="171"/>
      <c r="G30" s="171"/>
      <c r="H30" s="171"/>
      <c r="I30" s="206"/>
      <c r="J30" s="206"/>
      <c r="K30" s="206"/>
      <c r="L30" s="208"/>
      <c r="M30" s="165"/>
    </row>
    <row r="31" spans="2:13">
      <c r="B31" s="170">
        <f>B30+1</f>
        <v>10</v>
      </c>
      <c r="C31" s="194"/>
      <c r="D31" s="205" t="s">
        <v>41</v>
      </c>
      <c r="E31" s="181" t="str">
        <f>"( (ln "&amp;B13&amp;"- ln "&amp;B150&amp;" - ln "&amp;B154&amp;")/((ln "&amp;$B$79&amp;") x 100) )"</f>
        <v>( (ln 1- ln 80 - ln 83)/((ln 33) x 100) )</v>
      </c>
      <c r="F31" s="171"/>
      <c r="G31" s="171"/>
      <c r="H31" s="171"/>
      <c r="I31" s="206"/>
      <c r="J31" s="206"/>
      <c r="K31" s="206"/>
      <c r="L31" s="207">
        <f>IF(L79=0,0,(L13-L150-L154)/L79)</f>
        <v>0.12461255064799079</v>
      </c>
      <c r="M31" s="165"/>
    </row>
    <row r="32" spans="2:13">
      <c r="B32" s="170"/>
      <c r="C32" s="194"/>
      <c r="D32" s="205"/>
      <c r="E32" s="181"/>
      <c r="F32" s="171"/>
      <c r="G32" s="171"/>
      <c r="H32" s="171"/>
      <c r="I32" s="206"/>
      <c r="J32" s="206"/>
      <c r="K32" s="206"/>
      <c r="L32" s="208"/>
      <c r="M32" s="165"/>
    </row>
    <row r="33" spans="2:13">
      <c r="B33" s="170">
        <f>B31+1</f>
        <v>11</v>
      </c>
      <c r="C33" s="194"/>
      <c r="D33" s="201" t="str">
        <f>"NET PLANT CARRYING CHARGE ON LINE "&amp;B31&amp;", w/o Return, income taxes or ROE incentives (Note B)"</f>
        <v>NET PLANT CARRYING CHARGE ON LINE 10, w/o Return, income taxes or ROE incentives (Note B)</v>
      </c>
      <c r="E33" s="181"/>
      <c r="F33" s="209"/>
      <c r="G33" s="209"/>
      <c r="H33" s="209"/>
      <c r="I33" s="209"/>
      <c r="J33" s="209"/>
      <c r="K33" s="209"/>
      <c r="L33" s="209"/>
      <c r="M33" s="173"/>
    </row>
    <row r="34" spans="2:13">
      <c r="B34" s="170">
        <f>B33+1</f>
        <v>12</v>
      </c>
      <c r="C34" s="194"/>
      <c r="D34" s="162" t="s">
        <v>41</v>
      </c>
      <c r="E34" s="181" t="str">
        <f>"( (ln "&amp;B13&amp;" - ln "&amp;B150&amp;" - ln "&amp;B154&amp;" - ln "&amp;B181&amp;" - ln "&amp;B183&amp;") /((ln "&amp;$B$79&amp;") x 100) )"</f>
        <v>( (ln 1 - ln 80 - ln 83 - ln 108 - ln 109) /((ln 33) x 100) )</v>
      </c>
      <c r="F34" s="209"/>
      <c r="G34" s="209"/>
      <c r="H34" s="209"/>
      <c r="I34" s="209"/>
      <c r="J34" s="209"/>
      <c r="K34" s="209"/>
      <c r="L34" s="210">
        <f>IF(L79=0,0,(L13-L150-L154-L181-L183)/L79)</f>
        <v>3.8841206806735494E-2</v>
      </c>
      <c r="M34" s="173"/>
    </row>
    <row r="35" spans="2:13">
      <c r="B35" s="170"/>
      <c r="C35" s="194"/>
      <c r="D35" s="162"/>
      <c r="E35" s="181"/>
      <c r="F35" s="171"/>
      <c r="G35" s="171"/>
      <c r="H35" s="171"/>
      <c r="I35" s="206"/>
      <c r="J35" s="206"/>
      <c r="K35" s="206"/>
      <c r="L35" s="207"/>
      <c r="M35" s="211"/>
    </row>
    <row r="36" spans="2:13">
      <c r="B36" s="170">
        <f>B34+1</f>
        <v>13</v>
      </c>
      <c r="C36" s="171"/>
      <c r="D36" s="212" t="s">
        <v>549</v>
      </c>
      <c r="E36" s="181"/>
      <c r="F36" s="171"/>
      <c r="G36" s="171"/>
      <c r="H36" s="171"/>
      <c r="I36" s="206"/>
      <c r="J36" s="206"/>
      <c r="K36" s="206"/>
      <c r="L36" s="418">
        <f>+'WS J PROJECTED RTEP RR'!O26</f>
        <v>0</v>
      </c>
      <c r="M36" s="165"/>
    </row>
    <row r="37" spans="2:13">
      <c r="B37" s="170"/>
      <c r="C37" s="171"/>
      <c r="E37" s="181"/>
      <c r="F37" s="171"/>
      <c r="G37" s="171"/>
      <c r="H37" s="171"/>
      <c r="I37" s="206"/>
      <c r="J37" s="206"/>
      <c r="K37" s="206"/>
      <c r="L37" s="207"/>
      <c r="M37" s="165"/>
    </row>
    <row r="38" spans="2:13">
      <c r="B38" s="155"/>
      <c r="C38" s="171"/>
      <c r="E38" s="181"/>
      <c r="F38" s="171"/>
      <c r="G38" s="171"/>
      <c r="H38" s="171"/>
      <c r="I38" s="206"/>
      <c r="J38" s="206"/>
      <c r="K38" s="206"/>
      <c r="L38" s="207"/>
      <c r="M38" s="165"/>
    </row>
    <row r="39" spans="2:13" ht="15.75">
      <c r="B39" s="170">
        <f>+B36+1</f>
        <v>14</v>
      </c>
      <c r="C39" s="171"/>
      <c r="D39" s="1479" t="s">
        <v>207</v>
      </c>
      <c r="E39" s="1479"/>
      <c r="F39" s="1479"/>
      <c r="G39" s="1479"/>
      <c r="H39" s="1479"/>
      <c r="I39" s="1479"/>
      <c r="J39" s="1479"/>
      <c r="K39" s="1479"/>
      <c r="L39" s="1479"/>
      <c r="M39" s="165"/>
    </row>
    <row r="40" spans="2:13">
      <c r="B40" s="170"/>
      <c r="C40" s="171"/>
      <c r="E40" s="181"/>
      <c r="F40" s="171"/>
      <c r="G40" s="171"/>
      <c r="H40" s="171"/>
      <c r="I40" s="206"/>
      <c r="J40" s="206"/>
      <c r="K40" s="206"/>
      <c r="L40" s="207"/>
      <c r="M40" s="165"/>
    </row>
    <row r="41" spans="2:13">
      <c r="B41" s="170">
        <f>+B39+1</f>
        <v>15</v>
      </c>
      <c r="C41" s="171"/>
      <c r="D41" s="180" t="s">
        <v>209</v>
      </c>
      <c r="E41" s="181" t="str">
        <f>"Line "&amp;B131&amp;" Below"</f>
        <v>Line 63 Below</v>
      </c>
      <c r="F41" s="171"/>
      <c r="H41" s="171"/>
      <c r="I41" s="206"/>
      <c r="J41" s="206"/>
      <c r="K41" s="206"/>
      <c r="L41" s="213">
        <f>+G131</f>
        <v>174428.06407185999</v>
      </c>
      <c r="M41" s="165"/>
    </row>
    <row r="42" spans="2:13">
      <c r="B42" s="170">
        <f>+B41+1</f>
        <v>16</v>
      </c>
      <c r="C42" s="171"/>
      <c r="D42" s="180" t="s">
        <v>274</v>
      </c>
      <c r="E42" s="165"/>
      <c r="F42" s="171"/>
      <c r="H42" s="171"/>
      <c r="I42" s="206"/>
      <c r="J42" s="206"/>
      <c r="K42" s="206"/>
      <c r="L42" s="144">
        <f>'WS F Misc Exp'!D28</f>
        <v>0</v>
      </c>
      <c r="M42" s="165"/>
    </row>
    <row r="43" spans="2:13">
      <c r="B43" s="170">
        <f>+B42+1</f>
        <v>17</v>
      </c>
      <c r="C43" s="171"/>
      <c r="D43" s="180" t="s">
        <v>275</v>
      </c>
      <c r="E43" s="165"/>
      <c r="F43" s="171"/>
      <c r="H43" s="171"/>
      <c r="I43" s="206"/>
      <c r="J43" s="206"/>
      <c r="K43" s="206"/>
      <c r="L43" s="144">
        <f>'WS F Misc Exp'!D32</f>
        <v>0</v>
      </c>
      <c r="M43" s="165"/>
    </row>
    <row r="44" spans="2:13">
      <c r="B44" s="170"/>
      <c r="C44" s="171"/>
      <c r="E44" s="165"/>
      <c r="F44" s="171"/>
      <c r="H44" s="171"/>
      <c r="I44" s="206"/>
      <c r="J44" s="206"/>
      <c r="K44" s="206"/>
      <c r="L44" s="171"/>
      <c r="M44" s="165"/>
    </row>
    <row r="45" spans="2:13" ht="15.75" thickBot="1">
      <c r="B45" s="170">
        <f>+B43+1</f>
        <v>18</v>
      </c>
      <c r="C45" s="171"/>
      <c r="D45" s="180" t="s">
        <v>208</v>
      </c>
      <c r="E45" s="183" t="str">
        <f>"(Line "&amp;B41&amp;" - Line "&amp;B42&amp;" - Line "&amp;B43&amp;")"</f>
        <v>(Line 15 - Line 16 - Line 17)</v>
      </c>
      <c r="F45" s="171"/>
      <c r="H45" s="171"/>
      <c r="I45" s="206"/>
      <c r="J45" s="206"/>
      <c r="K45" s="206"/>
      <c r="L45" s="214">
        <f>+L41-L42-L43</f>
        <v>174428.06407185999</v>
      </c>
      <c r="M45" s="165"/>
    </row>
    <row r="46" spans="2:13" ht="15.75" thickTop="1">
      <c r="B46" s="170"/>
      <c r="C46" s="171"/>
      <c r="E46" s="181"/>
      <c r="F46" s="171"/>
      <c r="G46" s="171"/>
      <c r="H46" s="171"/>
      <c r="I46" s="206"/>
      <c r="J46" s="206"/>
      <c r="K46" s="206"/>
      <c r="L46" s="207"/>
      <c r="M46" s="165"/>
    </row>
    <row r="47" spans="2:13">
      <c r="B47" s="170"/>
      <c r="C47" s="171"/>
      <c r="E47" s="181"/>
      <c r="F47" s="171"/>
      <c r="G47" s="171"/>
      <c r="H47" s="171"/>
      <c r="I47" s="206"/>
      <c r="J47" s="206"/>
      <c r="K47" s="206"/>
      <c r="L47" s="207"/>
      <c r="M47" s="165"/>
    </row>
    <row r="48" spans="2:13">
      <c r="B48" s="170"/>
      <c r="C48" s="171"/>
      <c r="E48" s="181"/>
      <c r="F48" s="171"/>
      <c r="G48" s="171"/>
      <c r="H48" s="171"/>
      <c r="I48" s="206"/>
      <c r="J48" s="206"/>
      <c r="K48" s="206"/>
      <c r="L48" s="207"/>
      <c r="M48" s="165"/>
    </row>
    <row r="49" spans="2:16">
      <c r="D49" s="162"/>
      <c r="E49" s="162"/>
      <c r="G49" s="183"/>
      <c r="H49" s="162"/>
      <c r="I49" s="162"/>
      <c r="J49" s="162"/>
      <c r="K49" s="162"/>
      <c r="L49" s="162"/>
      <c r="M49" s="215"/>
    </row>
    <row r="50" spans="2:16">
      <c r="D50" s="162"/>
      <c r="E50" s="162"/>
      <c r="F50" s="171"/>
      <c r="G50" s="183"/>
      <c r="H50" s="162"/>
      <c r="I50" s="162"/>
      <c r="J50" s="162"/>
      <c r="K50" s="162"/>
      <c r="L50" s="162"/>
      <c r="M50" s="215"/>
      <c r="P50" s="216"/>
    </row>
    <row r="51" spans="2:16">
      <c r="D51" s="162"/>
      <c r="E51" s="162"/>
      <c r="F51" s="171" t="str">
        <f>F5</f>
        <v>AEPTCo subsidiaries in PJM</v>
      </c>
      <c r="G51" s="183"/>
      <c r="H51" s="162"/>
      <c r="I51" s="162"/>
      <c r="J51" s="162"/>
      <c r="K51" s="162"/>
      <c r="L51" s="162"/>
      <c r="M51" s="215"/>
      <c r="P51" s="216"/>
    </row>
    <row r="52" spans="2:16">
      <c r="D52" s="162"/>
      <c r="E52" s="168"/>
      <c r="F52" s="171" t="str">
        <f>F6</f>
        <v>Transmission Cost of Service Formula Rate</v>
      </c>
      <c r="G52" s="168"/>
      <c r="H52" s="168"/>
      <c r="I52" s="168"/>
      <c r="J52" s="168"/>
      <c r="K52" s="168"/>
      <c r="L52" s="168"/>
      <c r="M52" s="217"/>
      <c r="P52" s="218"/>
    </row>
    <row r="53" spans="2:16">
      <c r="D53" s="162"/>
      <c r="E53" s="168"/>
      <c r="F53" s="197" t="str">
        <f>F7</f>
        <v>Utilizing  Actual/Projected FERC Form 1 Data</v>
      </c>
      <c r="G53" s="168"/>
      <c r="H53" s="168"/>
      <c r="I53" s="168"/>
      <c r="J53" s="168"/>
      <c r="K53" s="168"/>
      <c r="L53" s="168"/>
      <c r="M53" s="219"/>
      <c r="P53" s="218"/>
    </row>
    <row r="54" spans="2:16">
      <c r="D54" s="162"/>
      <c r="E54" s="168"/>
      <c r="F54" s="171"/>
      <c r="G54" s="168"/>
      <c r="H54" s="168"/>
      <c r="I54" s="168"/>
      <c r="J54" s="168"/>
      <c r="K54" s="168"/>
      <c r="L54" s="168"/>
      <c r="M54" s="168"/>
      <c r="P54" s="218"/>
    </row>
    <row r="55" spans="2:16">
      <c r="D55" s="162"/>
      <c r="E55" s="168"/>
      <c r="F55" s="171" t="str">
        <f>F9</f>
        <v>AEP Appalachian Transmission Company</v>
      </c>
      <c r="G55" s="168"/>
      <c r="H55" s="168"/>
      <c r="I55" s="168"/>
      <c r="J55" s="168"/>
      <c r="K55" s="168"/>
      <c r="L55" s="168"/>
      <c r="M55" s="168"/>
      <c r="P55" s="218"/>
    </row>
    <row r="56" spans="2:16">
      <c r="D56" s="162"/>
      <c r="E56" s="197"/>
      <c r="F56" s="197"/>
      <c r="G56" s="197"/>
      <c r="H56" s="197"/>
      <c r="I56" s="197"/>
      <c r="J56" s="197"/>
      <c r="K56" s="197"/>
      <c r="L56" s="168"/>
      <c r="M56" s="168"/>
      <c r="P56" s="218"/>
    </row>
    <row r="57" spans="2:16">
      <c r="D57" s="171" t="s">
        <v>413</v>
      </c>
      <c r="E57" s="171" t="s">
        <v>414</v>
      </c>
      <c r="F57" s="171"/>
      <c r="G57" s="171" t="s">
        <v>415</v>
      </c>
      <c r="H57" s="168" t="s">
        <v>406</v>
      </c>
      <c r="I57" s="1474" t="s">
        <v>416</v>
      </c>
      <c r="J57" s="1475"/>
      <c r="K57" s="168"/>
      <c r="L57" s="172" t="s">
        <v>417</v>
      </c>
      <c r="M57" s="168"/>
    </row>
    <row r="58" spans="2:16">
      <c r="B58" s="155"/>
      <c r="D58" s="209"/>
      <c r="E58" s="209"/>
      <c r="F58" s="209"/>
      <c r="G58" s="213"/>
      <c r="H58" s="168"/>
      <c r="I58" s="168"/>
      <c r="J58" s="221"/>
      <c r="K58" s="168"/>
      <c r="M58" s="168"/>
    </row>
    <row r="59" spans="2:16" ht="15.75">
      <c r="B59" s="222"/>
      <c r="C59" s="171"/>
      <c r="D59" s="209"/>
      <c r="E59" s="223" t="s">
        <v>386</v>
      </c>
      <c r="F59" s="224"/>
      <c r="G59" s="168"/>
      <c r="H59" s="168"/>
      <c r="I59" s="168"/>
      <c r="J59" s="171"/>
      <c r="K59" s="168"/>
      <c r="L59" s="225" t="s">
        <v>410</v>
      </c>
      <c r="M59" s="168"/>
      <c r="P59" s="216"/>
    </row>
    <row r="60" spans="2:16" ht="15.75">
      <c r="B60" s="155"/>
      <c r="C60" s="178"/>
      <c r="D60" s="226" t="s">
        <v>385</v>
      </c>
      <c r="E60" s="227" t="s">
        <v>404</v>
      </c>
      <c r="F60" s="168"/>
      <c r="G60" s="226" t="s">
        <v>372</v>
      </c>
      <c r="H60" s="228"/>
      <c r="I60" s="1476" t="s">
        <v>411</v>
      </c>
      <c r="J60" s="1477"/>
      <c r="K60" s="228"/>
      <c r="L60" s="226" t="s">
        <v>407</v>
      </c>
      <c r="M60" s="168"/>
    </row>
    <row r="61" spans="2:16">
      <c r="B61" s="229" t="str">
        <f>B11</f>
        <v>Line</v>
      </c>
      <c r="C61" s="171"/>
      <c r="D61" s="162"/>
      <c r="E61" s="168"/>
      <c r="F61" s="168"/>
      <c r="G61" s="230" t="s">
        <v>148</v>
      </c>
      <c r="H61" s="168"/>
      <c r="I61" s="168"/>
      <c r="J61" s="168"/>
      <c r="K61" s="168"/>
      <c r="L61" s="168"/>
      <c r="M61" s="168"/>
    </row>
    <row r="62" spans="2:16" ht="15.75" thickBot="1">
      <c r="B62" s="177" t="str">
        <f>B12</f>
        <v>No.</v>
      </c>
      <c r="C62" s="171"/>
      <c r="D62" s="162" t="s">
        <v>373</v>
      </c>
      <c r="E62" s="231"/>
      <c r="F62" s="231"/>
      <c r="G62" s="186"/>
      <c r="H62" s="186"/>
      <c r="I62" s="190"/>
      <c r="J62" s="186"/>
      <c r="K62" s="186"/>
      <c r="L62" s="186"/>
      <c r="M62" s="168"/>
    </row>
    <row r="63" spans="2:16">
      <c r="B63" s="170">
        <f>+B45+1</f>
        <v>19</v>
      </c>
      <c r="C63" s="233"/>
      <c r="D63" s="234" t="s">
        <v>419</v>
      </c>
      <c r="E63" s="186" t="str">
        <f>"(Worksheet A ln "&amp;'WS A - Rate Base Support'!A23&amp;"."&amp;'WS A - Rate Base Support'!C8 &amp;" &amp; Ln "&amp;B207&amp;")"</f>
        <v>(Worksheet A ln 14.(d) &amp; Ln 117)</v>
      </c>
      <c r="F63" s="235"/>
      <c r="G63" s="203">
        <f>'WS A - Rate Base Support'!C23</f>
        <v>150942714.51016599</v>
      </c>
      <c r="H63" s="203"/>
      <c r="I63" s="236" t="s">
        <v>420</v>
      </c>
      <c r="J63" s="191"/>
      <c r="K63" s="237"/>
      <c r="L63" s="238">
        <f>+L207</f>
        <v>150942714.51016599</v>
      </c>
      <c r="M63" s="239"/>
    </row>
    <row r="64" spans="2:16">
      <c r="B64" s="170">
        <f>+B63+1</f>
        <v>20</v>
      </c>
      <c r="C64" s="233"/>
      <c r="D64" s="240" t="s">
        <v>171</v>
      </c>
      <c r="E64" s="186" t="str">
        <f>"(Worksheet A ln "&amp;'WS A - Rate Base Support'!A23&amp;"."&amp;'WS A - Rate Base Support'!D8 &amp;")"</f>
        <v>(Worksheet A ln 14.(e))</v>
      </c>
      <c r="F64" s="235"/>
      <c r="G64" s="203">
        <f>'WS A - Rate Base Support'!D23</f>
        <v>0</v>
      </c>
      <c r="H64" s="203"/>
      <c r="I64" s="236" t="s">
        <v>412</v>
      </c>
      <c r="J64" s="191">
        <f>J134</f>
        <v>1</v>
      </c>
      <c r="K64" s="237"/>
      <c r="L64" s="238">
        <f>+G64*J64</f>
        <v>0</v>
      </c>
      <c r="M64" s="239"/>
    </row>
    <row r="65" spans="2:15">
      <c r="B65" s="170">
        <f>+B64+1</f>
        <v>21</v>
      </c>
      <c r="C65" s="233"/>
      <c r="D65" s="162" t="s">
        <v>421</v>
      </c>
      <c r="E65" s="186" t="str">
        <f>"(Worksheet A ln "&amp;'WS A - Rate Base Support'!A23&amp;"."&amp;'WS A - Rate Base Support'!E8 &amp;")"</f>
        <v>(Worksheet A ln 14.(h))</v>
      </c>
      <c r="F65" s="186"/>
      <c r="G65" s="203">
        <f>'WS A - Rate Base Support'!E23</f>
        <v>772034.44489920256</v>
      </c>
      <c r="H65" s="203"/>
      <c r="I65" s="190" t="s">
        <v>422</v>
      </c>
      <c r="J65" s="191">
        <f>L219</f>
        <v>1</v>
      </c>
      <c r="K65" s="186"/>
      <c r="L65" s="203">
        <f>+J65*G65</f>
        <v>772034.44489920256</v>
      </c>
      <c r="M65" s="168"/>
    </row>
    <row r="66" spans="2:15">
      <c r="B66" s="170">
        <f>+B65+1</f>
        <v>22</v>
      </c>
      <c r="C66" s="233"/>
      <c r="D66" s="241" t="s">
        <v>170</v>
      </c>
      <c r="E66" s="186" t="str">
        <f>"(Worksheet A ln "&amp;'WS A - Rate Base Support'!A23&amp;"."&amp;'WS A - Rate Base Support'!F8 &amp;")"</f>
        <v>(Worksheet A ln 14.(i))</v>
      </c>
      <c r="F66" s="186"/>
      <c r="G66" s="203">
        <f>'WS A - Rate Base Support'!F23</f>
        <v>0</v>
      </c>
      <c r="H66" s="203"/>
      <c r="I66" s="190" t="s">
        <v>422</v>
      </c>
      <c r="J66" s="191">
        <f>L219</f>
        <v>1</v>
      </c>
      <c r="K66" s="186"/>
      <c r="L66" s="203">
        <f>+G66*J66</f>
        <v>0</v>
      </c>
      <c r="M66" s="168"/>
    </row>
    <row r="67" spans="2:15" ht="15.75" thickBot="1">
      <c r="B67" s="170">
        <f>+B66+1</f>
        <v>23</v>
      </c>
      <c r="C67" s="233"/>
      <c r="D67" s="162" t="s">
        <v>423</v>
      </c>
      <c r="E67" s="186" t="str">
        <f>"(Worksheet A ln "&amp;'WS A - Rate Base Support'!A23&amp;"."&amp;'WS A - Rate Base Support'!G8 &amp;")"</f>
        <v>(Worksheet A ln 14.(j))</v>
      </c>
      <c r="F67" s="186"/>
      <c r="G67" s="242">
        <f>'WS A - Rate Base Support'!G23</f>
        <v>1747007.0233068008</v>
      </c>
      <c r="H67" s="203"/>
      <c r="I67" s="190" t="s">
        <v>422</v>
      </c>
      <c r="J67" s="191">
        <f>L219</f>
        <v>1</v>
      </c>
      <c r="K67" s="186"/>
      <c r="L67" s="242">
        <f>+J67*G67</f>
        <v>1747007.0233068008</v>
      </c>
      <c r="M67" s="168"/>
      <c r="N67" s="162"/>
      <c r="O67" s="162"/>
    </row>
    <row r="68" spans="2:15" ht="15.75">
      <c r="B68" s="170">
        <f>+B67+1</f>
        <v>24</v>
      </c>
      <c r="C68" s="233"/>
      <c r="D68" s="162" t="s">
        <v>371</v>
      </c>
      <c r="E68" s="186" t="str">
        <f>"(Sum of Lines: "&amp;B63&amp;" to "&amp;B67&amp;")"</f>
        <v>(Sum of Lines: 19 to 23)</v>
      </c>
      <c r="F68" s="243"/>
      <c r="G68" s="203">
        <f>SUM(G63:G67)</f>
        <v>153461755.97837198</v>
      </c>
      <c r="H68" s="203"/>
      <c r="I68" s="244" t="s">
        <v>759</v>
      </c>
      <c r="J68" s="245">
        <f>IF(G68=0,0,L68/G68)</f>
        <v>1</v>
      </c>
      <c r="K68" s="186"/>
      <c r="L68" s="203">
        <f>SUM(L63:L67)</f>
        <v>153461755.97837198</v>
      </c>
      <c r="M68" s="168"/>
      <c r="N68" s="162"/>
      <c r="O68" s="162"/>
    </row>
    <row r="69" spans="2:15" ht="15.75">
      <c r="B69" s="170"/>
      <c r="C69" s="171"/>
      <c r="D69" s="162"/>
      <c r="E69" s="1234"/>
      <c r="F69" s="243"/>
      <c r="G69" s="203"/>
      <c r="H69" s="203"/>
      <c r="I69" s="244" t="s">
        <v>498</v>
      </c>
      <c r="J69" s="246">
        <f>+IF(L63=0,0,L63/(G63))</f>
        <v>1</v>
      </c>
      <c r="K69" s="186"/>
      <c r="L69" s="203"/>
      <c r="M69" s="168"/>
      <c r="N69" s="247"/>
      <c r="O69" s="162"/>
    </row>
    <row r="70" spans="2:15">
      <c r="B70" s="170">
        <f>+B68+1</f>
        <v>25</v>
      </c>
      <c r="C70" s="171"/>
      <c r="D70" s="162" t="s">
        <v>353</v>
      </c>
      <c r="E70" s="231"/>
      <c r="F70" s="231"/>
      <c r="G70" s="203"/>
      <c r="H70" s="248"/>
      <c r="I70" s="190"/>
      <c r="J70" s="249"/>
      <c r="K70" s="186"/>
      <c r="L70" s="203"/>
      <c r="M70" s="168"/>
      <c r="N70" s="168"/>
      <c r="O70" s="168"/>
    </row>
    <row r="71" spans="2:15" ht="15.75">
      <c r="B71" s="170">
        <f t="shared" ref="B71:B76" si="0">+B70+1</f>
        <v>26</v>
      </c>
      <c r="C71" s="233"/>
      <c r="D71" s="234" t="str">
        <f>D63</f>
        <v xml:space="preserve">  Transmission</v>
      </c>
      <c r="E71" s="186" t="str">
        <f>"(Worksheet A ln "&amp;'WS A - Rate Base Support'!A42&amp;"."&amp;'WS A - Rate Base Support'!C27 &amp;" &amp; Ln "&amp;'WS A - Rate Base Support'!A64&amp;"."&amp;'WS A - Rate Base Support'!C47&amp;")"</f>
        <v>(Worksheet A ln 28.(d) &amp; Ln 43.(b))</v>
      </c>
      <c r="F71" s="235"/>
      <c r="G71" s="238">
        <f>'WS A - Rate Base Support'!C42</f>
        <v>15183446.287730694</v>
      </c>
      <c r="H71" s="203"/>
      <c r="I71" s="250" t="s">
        <v>420</v>
      </c>
      <c r="J71" s="251">
        <f>IF(G71=0,1,L71/G71)</f>
        <v>1</v>
      </c>
      <c r="K71" s="237"/>
      <c r="L71" s="203">
        <f>'WS A - Rate Base Support'!C64</f>
        <v>15183446.287730694</v>
      </c>
      <c r="M71" s="239"/>
      <c r="N71" s="168"/>
      <c r="O71" s="168"/>
    </row>
    <row r="72" spans="2:15" ht="15.75">
      <c r="B72" s="170">
        <f t="shared" si="0"/>
        <v>27</v>
      </c>
      <c r="C72" s="233"/>
      <c r="D72" s="241" t="s">
        <v>171</v>
      </c>
      <c r="E72" s="186" t="str">
        <f>"(Worksheet A ln "&amp;'WS A - Rate Base Support'!A42&amp;"."&amp;'WS A - Rate Base Support'!D27 &amp;")"</f>
        <v>(Worksheet A ln 28.(e))</v>
      </c>
      <c r="F72" s="235"/>
      <c r="G72" s="203">
        <f>'WS A - Rate Base Support'!D42</f>
        <v>0</v>
      </c>
      <c r="H72" s="203"/>
      <c r="I72" s="250" t="s">
        <v>412</v>
      </c>
      <c r="J72" s="191">
        <f>IF(I72="TP",L209,L71/G71)</f>
        <v>1</v>
      </c>
      <c r="K72" s="237"/>
      <c r="L72" s="203">
        <f>+J72*G72</f>
        <v>0</v>
      </c>
      <c r="M72" s="239"/>
      <c r="N72" s="168"/>
      <c r="O72" s="168"/>
    </row>
    <row r="73" spans="2:15">
      <c r="B73" s="170">
        <f t="shared" si="0"/>
        <v>28</v>
      </c>
      <c r="C73" s="252"/>
      <c r="D73" s="205" t="str">
        <f>+D65</f>
        <v xml:space="preserve">  General Plant   </v>
      </c>
      <c r="E73" s="186" t="str">
        <f>"(Worksheet A ln "&amp;'WS A - Rate Base Support'!A42&amp;"."&amp;'WS A - Rate Base Support'!E27 &amp;")"</f>
        <v>(Worksheet A ln 28.(h))</v>
      </c>
      <c r="F73" s="186"/>
      <c r="G73" s="189">
        <f>'WS A - Rate Base Support'!E42</f>
        <v>58668.96907565833</v>
      </c>
      <c r="H73" s="203"/>
      <c r="I73" s="190" t="s">
        <v>422</v>
      </c>
      <c r="J73" s="191">
        <f>L219</f>
        <v>1</v>
      </c>
      <c r="K73" s="186"/>
      <c r="L73" s="203">
        <f>+J73*G73</f>
        <v>58668.96907565833</v>
      </c>
      <c r="M73" s="168"/>
      <c r="N73" s="168"/>
      <c r="O73" s="168"/>
    </row>
    <row r="74" spans="2:15">
      <c r="B74" s="170">
        <f t="shared" si="0"/>
        <v>29</v>
      </c>
      <c r="C74" s="252"/>
      <c r="D74" s="241" t="s">
        <v>170</v>
      </c>
      <c r="E74" s="186" t="str">
        <f>"(Worksheet A ln "&amp;'WS A - Rate Base Support'!A42&amp;"."&amp;'WS A - Rate Base Support'!F27 &amp;")"</f>
        <v>(Worksheet A ln 28.(i))</v>
      </c>
      <c r="F74" s="186"/>
      <c r="G74" s="203">
        <f>'WS A - Rate Base Support'!F42</f>
        <v>0</v>
      </c>
      <c r="H74" s="203"/>
      <c r="I74" s="190" t="s">
        <v>422</v>
      </c>
      <c r="J74" s="191">
        <f>L219</f>
        <v>1</v>
      </c>
      <c r="K74" s="186"/>
      <c r="L74" s="203">
        <f>+J74*G74</f>
        <v>0</v>
      </c>
      <c r="M74" s="168"/>
      <c r="N74" s="168"/>
      <c r="O74" s="168"/>
    </row>
    <row r="75" spans="2:15" ht="15.75" thickBot="1">
      <c r="B75" s="170">
        <f t="shared" si="0"/>
        <v>30</v>
      </c>
      <c r="C75" s="252"/>
      <c r="D75" s="205" t="str">
        <f>+D67</f>
        <v xml:space="preserve">  Intangible Plant</v>
      </c>
      <c r="E75" s="186" t="str">
        <f>"(Worksheet A ln "&amp;'WS A - Rate Base Support'!A42&amp;"."&amp;'WS A - Rate Base Support'!G27 &amp;")"</f>
        <v>(Worksheet A ln 28.(j))</v>
      </c>
      <c r="F75" s="186"/>
      <c r="G75" s="242">
        <f>'WS A - Rate Base Support'!G42</f>
        <v>979581.83426212636</v>
      </c>
      <c r="H75" s="203"/>
      <c r="I75" s="190" t="s">
        <v>422</v>
      </c>
      <c r="J75" s="191">
        <f>L219</f>
        <v>1</v>
      </c>
      <c r="K75" s="186"/>
      <c r="L75" s="1156">
        <f>+J75*G75</f>
        <v>979581.83426212636</v>
      </c>
      <c r="M75" s="186"/>
      <c r="N75" s="168"/>
      <c r="O75" s="168"/>
    </row>
    <row r="76" spans="2:15">
      <c r="B76" s="170">
        <f t="shared" si="0"/>
        <v>31</v>
      </c>
      <c r="C76" s="252"/>
      <c r="D76" s="205" t="s">
        <v>370</v>
      </c>
      <c r="E76" s="186" t="str">
        <f>"(Sum of Lines: "&amp;B71&amp;" to "&amp;B75&amp;")"</f>
        <v>(Sum of Lines: 26 to 30)</v>
      </c>
      <c r="F76" s="253"/>
      <c r="G76" s="203">
        <f>SUM(G71:G75)</f>
        <v>16221697.091068478</v>
      </c>
      <c r="H76" s="203"/>
      <c r="I76" s="190"/>
      <c r="J76" s="186"/>
      <c r="K76" s="203"/>
      <c r="L76" s="203">
        <f>SUM(L71:L75)</f>
        <v>16221697.091068478</v>
      </c>
      <c r="M76" s="168"/>
      <c r="N76" s="168"/>
      <c r="O76" s="168"/>
    </row>
    <row r="77" spans="2:15">
      <c r="B77" s="170"/>
      <c r="C77" s="171"/>
      <c r="E77" s="254"/>
      <c r="F77" s="253"/>
      <c r="G77" s="203"/>
      <c r="H77" s="203"/>
      <c r="I77" s="190"/>
      <c r="J77" s="255"/>
      <c r="K77" s="186"/>
      <c r="L77" s="203"/>
      <c r="M77" s="168"/>
      <c r="N77" s="168"/>
      <c r="O77" s="168"/>
    </row>
    <row r="78" spans="2:15">
      <c r="B78" s="170">
        <f>+B76+1</f>
        <v>32</v>
      </c>
      <c r="C78" s="171"/>
      <c r="D78" s="162" t="s">
        <v>374</v>
      </c>
      <c r="E78" s="231"/>
      <c r="F78" s="231"/>
      <c r="G78" s="203"/>
      <c r="H78" s="203"/>
      <c r="I78" s="190"/>
      <c r="J78" s="186"/>
      <c r="K78" s="186"/>
      <c r="L78" s="203"/>
      <c r="M78" s="168"/>
      <c r="N78" s="168"/>
      <c r="O78" s="168"/>
    </row>
    <row r="79" spans="2:15">
      <c r="B79" s="256">
        <f>+B78+1</f>
        <v>33</v>
      </c>
      <c r="C79" s="233"/>
      <c r="D79" s="241" t="str">
        <f>+D71</f>
        <v xml:space="preserve">  Transmission</v>
      </c>
      <c r="E79" s="186" t="str">
        <f>" (ln "&amp;B63&amp;" + ln "&amp;B64&amp;" - ln "&amp;B71&amp;" - ln "&amp;B72&amp;")"</f>
        <v xml:space="preserve"> (ln 19 + ln 20 - ln 26 - ln 27)</v>
      </c>
      <c r="F79" s="186"/>
      <c r="G79" s="203">
        <f>+G63+G64-G71-G72</f>
        <v>135759268.2224353</v>
      </c>
      <c r="H79" s="203"/>
      <c r="I79" s="190"/>
      <c r="J79" s="251"/>
      <c r="K79" s="186"/>
      <c r="L79" s="203">
        <f>+L63+L64-L71-L72</f>
        <v>135759268.2224353</v>
      </c>
      <c r="M79" s="168"/>
      <c r="N79" s="168"/>
      <c r="O79" s="168"/>
    </row>
    <row r="80" spans="2:15">
      <c r="B80" s="170">
        <f>+B79+1</f>
        <v>34</v>
      </c>
      <c r="C80" s="233"/>
      <c r="D80" s="241" t="str">
        <f>+D73</f>
        <v xml:space="preserve">  General Plant   </v>
      </c>
      <c r="E80" s="186" t="str">
        <f>" (ln "&amp;B65&amp;" + ln "&amp;B66&amp;" - ln "&amp;B73&amp;" - ln "&amp;B74&amp;")"</f>
        <v xml:space="preserve"> (ln 21 + ln 22 - ln 28 - ln 29)</v>
      </c>
      <c r="F80" s="186"/>
      <c r="G80" s="203">
        <f>+G65+G66-G73-G74</f>
        <v>713365.4758235442</v>
      </c>
      <c r="H80" s="203"/>
      <c r="I80" s="190"/>
      <c r="J80" s="255"/>
      <c r="K80" s="186"/>
      <c r="L80" s="203">
        <f>+L65+L66-L73-L74</f>
        <v>713365.4758235442</v>
      </c>
      <c r="M80" s="168"/>
      <c r="N80" s="168"/>
      <c r="O80" s="168"/>
    </row>
    <row r="81" spans="2:15" ht="15.75" thickBot="1">
      <c r="B81" s="170">
        <f>+B80+1</f>
        <v>35</v>
      </c>
      <c r="C81" s="233"/>
      <c r="D81" s="241" t="str">
        <f>+D75</f>
        <v xml:space="preserve">  Intangible Plant</v>
      </c>
      <c r="E81" s="186" t="str">
        <f>" (ln "&amp;B67&amp;" - ln "&amp;B75&amp;")"</f>
        <v xml:space="preserve"> (ln 23 - ln 30)</v>
      </c>
      <c r="F81" s="186"/>
      <c r="G81" s="242">
        <f>+G67-G75</f>
        <v>767425.18904467439</v>
      </c>
      <c r="H81" s="203"/>
      <c r="I81" s="190"/>
      <c r="J81" s="255"/>
      <c r="K81" s="186"/>
      <c r="L81" s="242">
        <f>+L67-L75</f>
        <v>767425.18904467439</v>
      </c>
      <c r="M81" s="168"/>
      <c r="N81" s="168"/>
      <c r="O81" s="168"/>
    </row>
    <row r="82" spans="2:15" ht="15.75">
      <c r="B82" s="170">
        <f>+B81+1</f>
        <v>36</v>
      </c>
      <c r="C82" s="233"/>
      <c r="D82" s="241" t="s">
        <v>369</v>
      </c>
      <c r="E82" s="186" t="str">
        <f>"(Sum of Lines: "&amp;B79&amp;" to "&amp;B81&amp;")"</f>
        <v>(Sum of Lines: 33 to 35)</v>
      </c>
      <c r="F82" s="186"/>
      <c r="G82" s="203">
        <f>SUM(G79:G81)</f>
        <v>137240058.88730353</v>
      </c>
      <c r="H82" s="203"/>
      <c r="I82" s="259" t="s">
        <v>760</v>
      </c>
      <c r="J82" s="245">
        <f>IF(G82=0,0,+L82/G82)</f>
        <v>1</v>
      </c>
      <c r="K82" s="186"/>
      <c r="L82" s="203">
        <f>SUM(L79:L81)</f>
        <v>137240058.88730353</v>
      </c>
      <c r="M82" s="168"/>
      <c r="N82" s="168"/>
      <c r="O82" s="168"/>
    </row>
    <row r="83" spans="2:15">
      <c r="B83" s="170"/>
      <c r="C83" s="171"/>
      <c r="D83" s="162"/>
      <c r="E83" s="186"/>
      <c r="F83" s="186"/>
      <c r="G83" s="203"/>
      <c r="H83" s="203"/>
      <c r="I83" s="160"/>
      <c r="J83" s="260"/>
      <c r="K83" s="186"/>
      <c r="L83" s="203"/>
      <c r="M83" s="168"/>
      <c r="N83" s="168"/>
      <c r="O83" s="168"/>
    </row>
    <row r="84" spans="2:15">
      <c r="B84" s="170"/>
      <c r="C84" s="171"/>
      <c r="G84" s="209"/>
      <c r="H84" s="209"/>
      <c r="I84" s="209"/>
      <c r="J84" s="209"/>
      <c r="K84" s="209"/>
      <c r="L84" s="209"/>
      <c r="M84" s="173"/>
      <c r="N84" s="168"/>
      <c r="O84" s="168"/>
    </row>
    <row r="85" spans="2:15">
      <c r="B85" s="170">
        <f>+B82+1</f>
        <v>37</v>
      </c>
      <c r="C85" s="171"/>
      <c r="D85" s="162" t="s">
        <v>121</v>
      </c>
      <c r="E85" s="186" t="s">
        <v>98</v>
      </c>
      <c r="F85" s="190"/>
      <c r="G85" s="209"/>
      <c r="H85" s="209"/>
      <c r="I85" s="209"/>
      <c r="J85" s="209"/>
      <c r="K85" s="209"/>
      <c r="L85" s="209"/>
      <c r="M85" s="173"/>
      <c r="N85" s="168"/>
      <c r="O85" s="168"/>
    </row>
    <row r="86" spans="2:15">
      <c r="B86" s="170">
        <f t="shared" ref="B86:B91" si="1">+B85+1</f>
        <v>38</v>
      </c>
      <c r="C86" s="233"/>
      <c r="D86" s="240" t="s">
        <v>475</v>
      </c>
      <c r="E86" s="186" t="str">
        <f>"(Worksheet B, ln "&amp;'WS B ADIT &amp; ITC'!A17&amp;" &amp; ln "&amp;'WS B ADIT &amp; ITC'!A20&amp;".E)"</f>
        <v>(Worksheet B, ln 2 &amp; ln 5.E)</v>
      </c>
      <c r="F86" s="186"/>
      <c r="G86" s="203">
        <f>'WS B ADIT &amp; ITC'!I17</f>
        <v>0</v>
      </c>
      <c r="H86" s="203"/>
      <c r="I86" s="190" t="s">
        <v>418</v>
      </c>
      <c r="J86" s="191"/>
      <c r="K86" s="186"/>
      <c r="L86" s="203">
        <f>'WS B ADIT &amp; ITC'!I20</f>
        <v>0</v>
      </c>
      <c r="M86" s="168"/>
      <c r="N86" s="168"/>
      <c r="O86" s="168"/>
    </row>
    <row r="87" spans="2:15">
      <c r="B87" s="170">
        <f t="shared" si="1"/>
        <v>39</v>
      </c>
      <c r="C87" s="233"/>
      <c r="D87" s="240" t="s">
        <v>476</v>
      </c>
      <c r="E87" s="186" t="str">
        <f>"(Worksheet B, ln "&amp;'WS B ADIT &amp; ITC'!A25&amp;" &amp; ln "&amp;'WS B ADIT &amp; ITC'!A28&amp;".E)"</f>
        <v>(Worksheet B, ln 7 &amp; ln 10.E)</v>
      </c>
      <c r="F87" s="186"/>
      <c r="G87" s="203">
        <f>-'WS B ADIT &amp; ITC'!I25</f>
        <v>-9052633.2886153758</v>
      </c>
      <c r="H87" s="203"/>
      <c r="I87" s="190" t="s">
        <v>420</v>
      </c>
      <c r="J87" s="191"/>
      <c r="K87" s="186"/>
      <c r="L87" s="203">
        <f>-'WS B ADIT &amp; ITC'!I28</f>
        <v>-7602608.6433994099</v>
      </c>
      <c r="M87" s="168"/>
      <c r="N87" s="168"/>
      <c r="O87" s="168"/>
    </row>
    <row r="88" spans="2:15">
      <c r="B88" s="170">
        <f t="shared" si="1"/>
        <v>40</v>
      </c>
      <c r="C88" s="233"/>
      <c r="D88" s="240" t="s">
        <v>477</v>
      </c>
      <c r="E88" s="186" t="str">
        <f>"(Worksheet B, ln "&amp;'WS B ADIT &amp; ITC'!A33&amp;" &amp; ln "&amp;'WS B ADIT &amp; ITC'!A36&amp;".E)"</f>
        <v>(Worksheet B, ln 12 &amp; ln 15.E)</v>
      </c>
      <c r="F88" s="186"/>
      <c r="G88" s="203">
        <f>-'WS B ADIT &amp; ITC'!I33</f>
        <v>-2645012.3060729746</v>
      </c>
      <c r="H88" s="203"/>
      <c r="I88" s="190" t="s">
        <v>420</v>
      </c>
      <c r="J88" s="191"/>
      <c r="K88" s="186"/>
      <c r="L88" s="203">
        <f>-'WS B ADIT &amp; ITC'!I36</f>
        <v>-2086516.4360729745</v>
      </c>
      <c r="M88" s="168"/>
      <c r="N88" s="168"/>
      <c r="O88" s="168"/>
    </row>
    <row r="89" spans="2:15">
      <c r="B89" s="170">
        <f t="shared" si="1"/>
        <v>41</v>
      </c>
      <c r="C89" s="233"/>
      <c r="D89" s="240" t="s">
        <v>478</v>
      </c>
      <c r="E89" s="186" t="str">
        <f>"(Worksheet B, ln "&amp;'WS B ADIT &amp; ITC'!A41&amp;" &amp; ln "&amp;'WS B ADIT &amp; ITC'!A44&amp;".E)"</f>
        <v>(Worksheet B, ln 17 &amp; ln 20.E)</v>
      </c>
      <c r="F89" s="186"/>
      <c r="G89" s="203">
        <f>'WS B ADIT &amp; ITC'!I41</f>
        <v>2244511.2836451456</v>
      </c>
      <c r="H89" s="203"/>
      <c r="I89" s="190" t="s">
        <v>420</v>
      </c>
      <c r="J89" s="191"/>
      <c r="K89" s="186"/>
      <c r="L89" s="203">
        <f>'WS B ADIT &amp; ITC'!I44</f>
        <v>2092213.9836451458</v>
      </c>
      <c r="M89" s="168"/>
      <c r="N89" s="168"/>
      <c r="O89" s="168"/>
    </row>
    <row r="90" spans="2:15" ht="15.75" thickBot="1">
      <c r="B90" s="170">
        <f t="shared" si="1"/>
        <v>42</v>
      </c>
      <c r="C90" s="233"/>
      <c r="D90" s="261" t="s">
        <v>424</v>
      </c>
      <c r="E90" s="186" t="str">
        <f>"(Worksheet B, ln "&amp;'WS B ADIT &amp; ITC'!A51&amp;" &amp; ln "&amp;'WS B ADIT &amp; ITC'!A52&amp;".E)"</f>
        <v>(Worksheet B, ln 24 &amp; ln 25.E)</v>
      </c>
      <c r="F90" s="160"/>
      <c r="G90" s="242">
        <f>-'WS B ADIT &amp; ITC'!I51</f>
        <v>0</v>
      </c>
      <c r="H90" s="203"/>
      <c r="I90" s="190" t="s">
        <v>420</v>
      </c>
      <c r="J90" s="191"/>
      <c r="K90" s="186"/>
      <c r="L90" s="242">
        <f>-'WS B ADIT &amp; ITC'!I52</f>
        <v>0</v>
      </c>
      <c r="M90" s="262"/>
      <c r="N90" s="168"/>
      <c r="O90" s="168"/>
    </row>
    <row r="91" spans="2:15">
      <c r="B91" s="170">
        <f t="shared" si="1"/>
        <v>43</v>
      </c>
      <c r="C91" s="233"/>
      <c r="D91" s="241" t="s">
        <v>383</v>
      </c>
      <c r="E91" s="241" t="str">
        <f>"(sum lns "&amp;B86&amp;" to "&amp;B90&amp;")"</f>
        <v>(sum lns 38 to 42)</v>
      </c>
      <c r="F91" s="186"/>
      <c r="G91" s="203">
        <f>SUM(G86:G90)</f>
        <v>-9453134.3110432047</v>
      </c>
      <c r="H91" s="263"/>
      <c r="I91" s="190"/>
      <c r="J91" s="210"/>
      <c r="K91" s="186"/>
      <c r="L91" s="203">
        <f>SUM(L86:L90)</f>
        <v>-7596911.0958272396</v>
      </c>
      <c r="M91" s="168"/>
      <c r="N91" s="264"/>
    </row>
    <row r="92" spans="2:15">
      <c r="B92" s="170"/>
      <c r="C92" s="171"/>
      <c r="D92" s="241"/>
      <c r="E92" s="186"/>
      <c r="F92" s="186"/>
      <c r="G92" s="203"/>
      <c r="H92" s="263"/>
      <c r="I92" s="190"/>
      <c r="J92" s="255"/>
      <c r="K92" s="186"/>
      <c r="L92" s="203"/>
      <c r="M92" s="168"/>
    </row>
    <row r="93" spans="2:15">
      <c r="B93" s="170">
        <f>+B91+1</f>
        <v>44</v>
      </c>
      <c r="C93" s="171"/>
      <c r="D93" s="241" t="s">
        <v>487</v>
      </c>
      <c r="E93" s="186" t="str">
        <f>"(Worksheet A ln "&amp;'WS A - Rate Base Support'!A69&amp;"."&amp;'WS A - Rate Base Support'!F68 &amp;")"&amp;" ln "&amp;'WS A - Rate Base Support'!A71&amp;"."&amp;'WS A - Rate Base Support'!F68 &amp;")"</f>
        <v>(Worksheet A ln 44.(e)) ln 45.(e))</v>
      </c>
      <c r="F93" s="186"/>
      <c r="G93" s="203">
        <f>'WS A - Rate Base Support'!F69</f>
        <v>0</v>
      </c>
      <c r="H93" s="263"/>
      <c r="I93" s="190" t="s">
        <v>420</v>
      </c>
      <c r="J93" s="191"/>
      <c r="K93" s="186"/>
      <c r="L93" s="203">
        <f>'WS A - Rate Base Support'!F71</f>
        <v>0</v>
      </c>
      <c r="M93" s="168"/>
    </row>
    <row r="94" spans="2:15">
      <c r="B94" s="170"/>
      <c r="C94" s="171"/>
      <c r="D94" s="241"/>
      <c r="E94" s="186"/>
      <c r="F94" s="186"/>
      <c r="G94" s="203"/>
      <c r="H94" s="263"/>
      <c r="I94" s="190"/>
      <c r="J94" s="191"/>
      <c r="K94" s="186"/>
      <c r="L94" s="203"/>
      <c r="M94" s="168"/>
    </row>
    <row r="95" spans="2:15">
      <c r="B95" s="170">
        <f>+B93+1</f>
        <v>45</v>
      </c>
      <c r="C95" s="194"/>
      <c r="D95" s="240" t="s">
        <v>122</v>
      </c>
      <c r="E95" s="186" t="str">
        <f>"(Worksheet A ln "&amp;'WS A - Rate Base Support'!A80&amp;"."&amp;'WS A - Rate Base Support'!F68 &amp;")"</f>
        <v>(Worksheet A ln 51.(e))</v>
      </c>
      <c r="F95" s="186"/>
      <c r="G95" s="203">
        <f>'WS A - Rate Base Support'!F80</f>
        <v>0</v>
      </c>
      <c r="H95" s="263"/>
      <c r="I95" s="190" t="s">
        <v>420</v>
      </c>
      <c r="J95" s="186"/>
      <c r="K95" s="186"/>
      <c r="L95" s="203">
        <f>+G95</f>
        <v>0</v>
      </c>
      <c r="M95" s="186"/>
      <c r="N95" s="160"/>
    </row>
    <row r="96" spans="2:15">
      <c r="B96" s="170"/>
      <c r="C96" s="194"/>
      <c r="D96" s="240"/>
      <c r="E96" s="186"/>
      <c r="F96" s="186"/>
      <c r="G96" s="203"/>
      <c r="H96" s="263"/>
      <c r="I96" s="190"/>
      <c r="J96" s="186"/>
      <c r="K96" s="186"/>
      <c r="L96" s="203"/>
      <c r="M96" s="186"/>
      <c r="N96" s="160"/>
    </row>
    <row r="97" spans="2:14">
      <c r="B97" s="193">
        <f>B95+1</f>
        <v>46</v>
      </c>
      <c r="C97" s="252"/>
      <c r="D97" s="322" t="s">
        <v>635</v>
      </c>
      <c r="E97" s="186" t="s">
        <v>636</v>
      </c>
      <c r="F97" s="186"/>
      <c r="G97" s="189">
        <f>'WS A - Rate Base Support'!F87</f>
        <v>0</v>
      </c>
      <c r="H97" s="203"/>
      <c r="I97" s="190" t="s">
        <v>422</v>
      </c>
      <c r="J97" s="191">
        <f>L219</f>
        <v>1</v>
      </c>
      <c r="K97" s="186"/>
      <c r="L97" s="257">
        <f>+J97*G97</f>
        <v>0</v>
      </c>
      <c r="M97" s="186"/>
      <c r="N97" s="160"/>
    </row>
    <row r="98" spans="2:14">
      <c r="B98" s="170"/>
      <c r="C98" s="171"/>
      <c r="D98" s="241"/>
      <c r="E98" s="186"/>
      <c r="F98" s="186"/>
      <c r="G98" s="203"/>
      <c r="H98" s="263"/>
      <c r="I98" s="190"/>
      <c r="J98" s="186"/>
      <c r="K98" s="186"/>
      <c r="L98" s="203"/>
      <c r="M98" s="168"/>
    </row>
    <row r="99" spans="2:14">
      <c r="B99" s="170">
        <f>+B97+1</f>
        <v>47</v>
      </c>
      <c r="C99" s="171"/>
      <c r="D99" s="241" t="s">
        <v>384</v>
      </c>
      <c r="E99" s="186" t="s">
        <v>286</v>
      </c>
      <c r="F99" s="186"/>
      <c r="G99" s="203"/>
      <c r="H99" s="263"/>
      <c r="I99" s="190"/>
      <c r="J99" s="186"/>
      <c r="K99" s="186"/>
      <c r="L99" s="203"/>
      <c r="M99" s="168"/>
    </row>
    <row r="100" spans="2:14">
      <c r="B100" s="170">
        <f t="shared" ref="B100:B108" si="2">+B99+1</f>
        <v>48</v>
      </c>
      <c r="C100" s="233"/>
      <c r="D100" s="241" t="s">
        <v>486</v>
      </c>
      <c r="E100" s="160" t="str">
        <f>"(1/8 * ln "&amp;B134&amp;")"</f>
        <v>(1/8 * ln 66)</v>
      </c>
      <c r="F100" s="160"/>
      <c r="G100" s="203">
        <f>+G134/8</f>
        <v>388434.02774037246</v>
      </c>
      <c r="H100" s="186"/>
      <c r="I100" s="190"/>
      <c r="J100" s="255"/>
      <c r="K100" s="186"/>
      <c r="L100" s="203">
        <f>+L134/8</f>
        <v>388434.02774037246</v>
      </c>
      <c r="M100" s="165"/>
    </row>
    <row r="101" spans="2:14">
      <c r="B101" s="170">
        <f t="shared" si="2"/>
        <v>49</v>
      </c>
      <c r="C101" s="252"/>
      <c r="D101" s="241" t="s">
        <v>129</v>
      </c>
      <c r="E101" s="186" t="str">
        <f>"(Worksheet C, ln "&amp;'WS C  - Working Capital'!A17&amp;".(F))"</f>
        <v>(Worksheet C, ln 2.(F))</v>
      </c>
      <c r="F101" s="186"/>
      <c r="G101" s="203">
        <f>'WS C  - Working Capital'!I17</f>
        <v>0</v>
      </c>
      <c r="H101" s="209"/>
      <c r="I101" s="197" t="s">
        <v>412</v>
      </c>
      <c r="J101" s="191">
        <f>J134</f>
        <v>1</v>
      </c>
      <c r="K101" s="168"/>
      <c r="L101" s="257">
        <f>+J101*G101</f>
        <v>0</v>
      </c>
      <c r="M101" s="186"/>
    </row>
    <row r="102" spans="2:14">
      <c r="B102" s="170">
        <f t="shared" si="2"/>
        <v>50</v>
      </c>
      <c r="C102" s="252"/>
      <c r="D102" s="241" t="s">
        <v>130</v>
      </c>
      <c r="E102" s="186" t="str">
        <f>"(Worksheet C, ln "&amp;'WS C  - Working Capital'!A19&amp;".(F))"</f>
        <v>(Worksheet C, ln 3.(F))</v>
      </c>
      <c r="F102" s="186"/>
      <c r="G102" s="203">
        <f>'WS C  - Working Capital'!I19</f>
        <v>0</v>
      </c>
      <c r="H102" s="209"/>
      <c r="I102" s="197" t="s">
        <v>422</v>
      </c>
      <c r="J102" s="191">
        <f>L219</f>
        <v>1</v>
      </c>
      <c r="K102" s="168"/>
      <c r="L102" s="257">
        <f>+J102*G102</f>
        <v>0</v>
      </c>
      <c r="M102" s="186"/>
    </row>
    <row r="103" spans="2:14">
      <c r="B103" s="170">
        <f t="shared" si="2"/>
        <v>51</v>
      </c>
      <c r="C103" s="252"/>
      <c r="D103" s="241" t="s">
        <v>318</v>
      </c>
      <c r="E103" s="186" t="str">
        <f>"(Worksheet C, ln "&amp;'WS C  - Working Capital'!A21&amp;".(F))"</f>
        <v>(Worksheet C, ln 4.(F))</v>
      </c>
      <c r="F103" s="186"/>
      <c r="G103" s="203">
        <f>'WS C  - Working Capital'!I21</f>
        <v>0</v>
      </c>
      <c r="H103" s="209"/>
      <c r="I103" s="197" t="s">
        <v>761</v>
      </c>
      <c r="J103" s="191">
        <f>J68</f>
        <v>1</v>
      </c>
      <c r="K103" s="168"/>
      <c r="L103" s="257">
        <f>+J103*G103</f>
        <v>0</v>
      </c>
      <c r="M103" s="186"/>
    </row>
    <row r="104" spans="2:14">
      <c r="B104" s="170">
        <f t="shared" si="2"/>
        <v>52</v>
      </c>
      <c r="C104" s="252"/>
      <c r="D104" s="240" t="s">
        <v>490</v>
      </c>
      <c r="E104" s="186" t="str">
        <f>"(Worksheet C, ln "&amp;'WS C  - Working Capital'!A31&amp;".(G))"</f>
        <v>(Worksheet C, ln 8.(G))</v>
      </c>
      <c r="F104" s="186"/>
      <c r="G104" s="203">
        <f>'WS C  - Working Capital'!J31</f>
        <v>0</v>
      </c>
      <c r="H104" s="263"/>
      <c r="I104" s="190" t="s">
        <v>422</v>
      </c>
      <c r="J104" s="191">
        <f>L219</f>
        <v>1</v>
      </c>
      <c r="K104" s="186"/>
      <c r="L104" s="203">
        <f>+J104*G104</f>
        <v>0</v>
      </c>
      <c r="M104" s="186"/>
    </row>
    <row r="105" spans="2:14">
      <c r="B105" s="170">
        <f t="shared" si="2"/>
        <v>53</v>
      </c>
      <c r="C105" s="233"/>
      <c r="D105" s="241" t="s">
        <v>491</v>
      </c>
      <c r="E105" s="186" t="str">
        <f>"(Worksheet C, ln "&amp;'WS C  - Working Capital'!A31&amp;".(F))"</f>
        <v>(Worksheet C, ln 8.(F))</v>
      </c>
      <c r="F105" s="186"/>
      <c r="G105" s="203">
        <f>'WS C  - Working Capital'!I31</f>
        <v>26812</v>
      </c>
      <c r="H105" s="263"/>
      <c r="I105" s="190" t="s">
        <v>761</v>
      </c>
      <c r="J105" s="191">
        <f>J68</f>
        <v>1</v>
      </c>
      <c r="K105" s="186"/>
      <c r="L105" s="203">
        <f>+G105*J105</f>
        <v>26812</v>
      </c>
      <c r="M105" s="186"/>
    </row>
    <row r="106" spans="2:14">
      <c r="B106" s="170">
        <f t="shared" si="2"/>
        <v>54</v>
      </c>
      <c r="C106" s="233"/>
      <c r="D106" s="241" t="s">
        <v>101</v>
      </c>
      <c r="E106" s="186" t="str">
        <f>"(Worksheet C, ln "&amp;'WS C  - Working Capital'!A31&amp;".(E))"</f>
        <v>(Worksheet C, ln 8.(E))</v>
      </c>
      <c r="F106" s="186"/>
      <c r="G106" s="203">
        <f>'WS C  - Working Capital'!G31</f>
        <v>0</v>
      </c>
      <c r="H106" s="263"/>
      <c r="I106" s="190" t="s">
        <v>420</v>
      </c>
      <c r="J106" s="191">
        <v>1</v>
      </c>
      <c r="K106" s="186"/>
      <c r="L106" s="203">
        <f>+G106</f>
        <v>0</v>
      </c>
      <c r="M106" s="186"/>
    </row>
    <row r="107" spans="2:14" ht="15.75" thickBot="1">
      <c r="B107" s="170">
        <f t="shared" si="2"/>
        <v>55</v>
      </c>
      <c r="C107" s="233"/>
      <c r="D107" s="241" t="s">
        <v>396</v>
      </c>
      <c r="E107" s="186" t="str">
        <f>"(Worksheet C, ln "&amp;'WS C  - Working Capital'!A31&amp;".(D))"</f>
        <v>(Worksheet C, ln 8.(D))</v>
      </c>
      <c r="F107" s="186"/>
      <c r="G107" s="242">
        <f>'WS C  - Working Capital'!E31</f>
        <v>0</v>
      </c>
      <c r="H107" s="203"/>
      <c r="I107" s="190" t="s">
        <v>418</v>
      </c>
      <c r="J107" s="191">
        <v>0</v>
      </c>
      <c r="K107" s="186"/>
      <c r="L107" s="242">
        <f>+G107*J107</f>
        <v>0</v>
      </c>
      <c r="M107" s="186"/>
    </row>
    <row r="108" spans="2:14">
      <c r="B108" s="170">
        <f t="shared" si="2"/>
        <v>56</v>
      </c>
      <c r="C108" s="233"/>
      <c r="D108" s="241" t="s">
        <v>368</v>
      </c>
      <c r="E108" s="241" t="str">
        <f>"(sum lns "&amp;B100&amp;" to "&amp;B107&amp;")"</f>
        <v>(sum lns 48 to 55)</v>
      </c>
      <c r="F108" s="181"/>
      <c r="G108" s="203">
        <f>SUM(G100:G107)</f>
        <v>415246.02774037246</v>
      </c>
      <c r="H108" s="181"/>
      <c r="I108" s="194"/>
      <c r="J108" s="181"/>
      <c r="K108" s="181"/>
      <c r="L108" s="203">
        <f>SUM(L100:L107)</f>
        <v>415246.02774037246</v>
      </c>
      <c r="M108" s="165"/>
    </row>
    <row r="109" spans="2:14">
      <c r="B109" s="170"/>
      <c r="C109" s="171"/>
      <c r="D109" s="241"/>
      <c r="E109" s="165"/>
      <c r="F109" s="165"/>
      <c r="G109" s="257"/>
      <c r="H109" s="165"/>
      <c r="I109" s="171"/>
      <c r="J109" s="165"/>
      <c r="K109" s="165"/>
      <c r="L109" s="257"/>
      <c r="M109" s="165"/>
    </row>
    <row r="110" spans="2:14">
      <c r="B110" s="170">
        <f>+B108+1</f>
        <v>57</v>
      </c>
      <c r="C110" s="171"/>
      <c r="D110" s="240" t="s">
        <v>356</v>
      </c>
      <c r="E110" s="162" t="str">
        <f>"(Note F) (Worksheet D, ln "&amp;'WS D IPP Credits'!A23&amp;".B)"</f>
        <v>(Note F) (Worksheet D, ln 8.B)</v>
      </c>
      <c r="F110" s="165"/>
      <c r="G110" s="257">
        <f>+'WS D IPP Credits'!C23</f>
        <v>0</v>
      </c>
      <c r="H110" s="165"/>
      <c r="I110" s="265" t="s">
        <v>420</v>
      </c>
      <c r="J110" s="191">
        <v>1</v>
      </c>
      <c r="K110" s="168"/>
      <c r="L110" s="257">
        <f>+J110*G110</f>
        <v>0</v>
      </c>
      <c r="M110" s="165"/>
    </row>
    <row r="111" spans="2:14" ht="15.75" thickBot="1">
      <c r="B111" s="170"/>
      <c r="D111" s="261"/>
      <c r="E111" s="168"/>
      <c r="F111" s="168"/>
      <c r="G111" s="266"/>
      <c r="H111" s="168"/>
      <c r="I111" s="197"/>
      <c r="J111" s="168"/>
      <c r="K111" s="168"/>
      <c r="L111" s="266"/>
      <c r="M111" s="168"/>
    </row>
    <row r="112" spans="2:14" ht="15.75" thickBot="1">
      <c r="B112" s="170">
        <f>+B110+1</f>
        <v>58</v>
      </c>
      <c r="C112" s="171"/>
      <c r="D112" s="162" t="str">
        <f>"RATE BASE  (sum lns "&amp;B82&amp;", "&amp;B91&amp;", "&amp;B93&amp;", "&amp;B95&amp;", "&amp;B97&amp;", "&amp;B108&amp;", "&amp;B110&amp;")"</f>
        <v>RATE BASE  (sum lns 36, 43, 44, 45, 46, 56, 57)</v>
      </c>
      <c r="E112" s="168"/>
      <c r="F112" s="168"/>
      <c r="G112" s="267">
        <f>+G108+G93+G91+G82+G110+G95+G97</f>
        <v>128202170.6040007</v>
      </c>
      <c r="H112" s="168"/>
      <c r="I112" s="168"/>
      <c r="J112" s="268"/>
      <c r="K112" s="168"/>
      <c r="L112" s="267">
        <f>+L108+L93+L91+L82+L110+L95+L97</f>
        <v>130058393.81921667</v>
      </c>
      <c r="M112" s="168"/>
    </row>
    <row r="113" spans="2:15" ht="16.5" thickTop="1">
      <c r="B113" s="170"/>
      <c r="C113" s="209"/>
      <c r="D113" s="209"/>
      <c r="E113" s="209"/>
      <c r="F113" s="209"/>
      <c r="G113" s="209"/>
      <c r="H113" s="209"/>
      <c r="I113" s="159"/>
      <c r="J113" s="159"/>
      <c r="K113" s="159"/>
      <c r="L113" s="160"/>
    </row>
    <row r="114" spans="2:15">
      <c r="B114" s="269"/>
      <c r="C114" s="171"/>
      <c r="D114" s="162"/>
      <c r="E114" s="168"/>
      <c r="F114" s="168"/>
      <c r="G114" s="168"/>
      <c r="H114" s="168"/>
      <c r="I114" s="168"/>
      <c r="J114" s="168"/>
      <c r="K114" s="168"/>
      <c r="L114" s="168"/>
      <c r="M114" s="168"/>
    </row>
    <row r="115" spans="2:15">
      <c r="B115" s="269"/>
      <c r="C115" s="171"/>
      <c r="D115" s="162"/>
      <c r="E115" s="168"/>
      <c r="F115" s="197" t="str">
        <f>F51</f>
        <v>AEPTCo subsidiaries in PJM</v>
      </c>
      <c r="G115" s="197"/>
      <c r="H115" s="168"/>
      <c r="I115" s="168"/>
      <c r="J115" s="168"/>
      <c r="K115" s="168"/>
      <c r="L115" s="168"/>
      <c r="M115" s="270"/>
    </row>
    <row r="116" spans="2:15">
      <c r="B116" s="269"/>
      <c r="C116" s="171"/>
      <c r="D116" s="162"/>
      <c r="E116" s="168"/>
      <c r="F116" s="197" t="str">
        <f>F52</f>
        <v>Transmission Cost of Service Formula Rate</v>
      </c>
      <c r="G116" s="197"/>
      <c r="H116" s="168"/>
      <c r="I116" s="168"/>
      <c r="J116" s="168"/>
      <c r="K116" s="168"/>
      <c r="L116" s="168"/>
      <c r="M116" s="270"/>
    </row>
    <row r="117" spans="2:15">
      <c r="B117" s="269"/>
      <c r="C117" s="171"/>
      <c r="E117" s="168"/>
      <c r="F117" s="197" t="str">
        <f>F53</f>
        <v>Utilizing  Actual/Projected FERC Form 1 Data</v>
      </c>
      <c r="G117" s="168"/>
      <c r="H117" s="168"/>
      <c r="I117" s="168"/>
      <c r="J117" s="168"/>
      <c r="K117" s="168"/>
      <c r="L117" s="168"/>
      <c r="M117" s="219"/>
    </row>
    <row r="118" spans="2:15">
      <c r="B118" s="269"/>
      <c r="C118" s="171"/>
      <c r="E118" s="168"/>
      <c r="F118" s="197"/>
      <c r="G118" s="168"/>
      <c r="H118" s="168"/>
      <c r="I118" s="168"/>
      <c r="J118" s="168"/>
      <c r="K118" s="168"/>
      <c r="L118" s="168"/>
      <c r="M118" s="168"/>
    </row>
    <row r="119" spans="2:15">
      <c r="B119" s="269"/>
      <c r="C119" s="171"/>
      <c r="E119" s="271"/>
      <c r="F119" s="197" t="str">
        <f>F55</f>
        <v>AEP Appalachian Transmission Company</v>
      </c>
      <c r="G119" s="271"/>
      <c r="H119" s="272"/>
      <c r="I119" s="271"/>
      <c r="J119" s="271"/>
      <c r="K119" s="271"/>
      <c r="M119" s="168"/>
    </row>
    <row r="120" spans="2:15">
      <c r="B120" s="269"/>
      <c r="C120" s="171"/>
      <c r="E120" s="271"/>
      <c r="F120" s="197"/>
      <c r="G120" s="271"/>
      <c r="H120" s="272"/>
      <c r="I120" s="271"/>
      <c r="J120" s="271"/>
      <c r="K120" s="271"/>
      <c r="M120" s="168"/>
    </row>
    <row r="121" spans="2:15">
      <c r="B121" s="269"/>
      <c r="D121" s="171" t="s">
        <v>413</v>
      </c>
      <c r="E121" s="171" t="s">
        <v>414</v>
      </c>
      <c r="F121" s="171"/>
      <c r="G121" s="171" t="s">
        <v>415</v>
      </c>
      <c r="H121" s="186"/>
      <c r="I121" s="1474" t="s">
        <v>416</v>
      </c>
      <c r="J121" s="1478"/>
      <c r="K121" s="168"/>
      <c r="L121" s="172" t="s">
        <v>417</v>
      </c>
      <c r="M121" s="168"/>
      <c r="N121" s="172"/>
    </row>
    <row r="122" spans="2:15" ht="15.75">
      <c r="B122" s="269"/>
      <c r="D122" s="171"/>
      <c r="E122" s="171"/>
      <c r="F122" s="171"/>
      <c r="G122" s="171"/>
      <c r="H122" s="186"/>
      <c r="I122" s="168"/>
      <c r="J122" s="221"/>
      <c r="K122" s="168"/>
      <c r="M122" s="168"/>
      <c r="N122" s="274"/>
      <c r="O122" s="275"/>
    </row>
    <row r="123" spans="2:15" ht="15.75">
      <c r="B123" s="269"/>
      <c r="C123" s="171"/>
      <c r="D123" s="274" t="s">
        <v>392</v>
      </c>
      <c r="E123" s="223" t="str">
        <f>E59</f>
        <v>Data Sources</v>
      </c>
      <c r="F123" s="224"/>
      <c r="G123" s="168"/>
      <c r="H123" s="186"/>
      <c r="I123" s="168"/>
      <c r="J123" s="171"/>
      <c r="K123" s="168"/>
      <c r="L123" s="223" t="str">
        <f>L59</f>
        <v>Total</v>
      </c>
      <c r="N123" s="274"/>
      <c r="O123" s="275"/>
    </row>
    <row r="124" spans="2:15" ht="15.75">
      <c r="B124" s="269"/>
      <c r="C124" s="178"/>
      <c r="D124" s="226" t="s">
        <v>393</v>
      </c>
      <c r="E124" s="276" t="str">
        <f>E60</f>
        <v>(See "General Notes")</v>
      </c>
      <c r="F124" s="168"/>
      <c r="G124" s="276" t="str">
        <f>G60</f>
        <v>TO Total</v>
      </c>
      <c r="H124" s="277"/>
      <c r="I124" s="1476" t="str">
        <f>I60</f>
        <v>Allocator</v>
      </c>
      <c r="J124" s="1477"/>
      <c r="K124" s="228"/>
      <c r="L124" s="276" t="str">
        <f>L60</f>
        <v>Transmission</v>
      </c>
      <c r="M124" s="168"/>
      <c r="N124" s="274"/>
      <c r="O124" s="275"/>
    </row>
    <row r="125" spans="2:15" ht="15.75">
      <c r="B125" s="170" t="str">
        <f>B61</f>
        <v>Line</v>
      </c>
      <c r="D125" s="162"/>
      <c r="E125" s="168"/>
      <c r="F125" s="168"/>
      <c r="G125" s="226"/>
      <c r="H125" s="278"/>
      <c r="I125" s="274"/>
      <c r="K125" s="279"/>
      <c r="L125" s="226"/>
      <c r="M125" s="168"/>
    </row>
    <row r="126" spans="2:15">
      <c r="B126" s="170" t="str">
        <f>B62</f>
        <v>No.</v>
      </c>
      <c r="C126" s="171"/>
      <c r="D126" s="162" t="s">
        <v>394</v>
      </c>
      <c r="E126" s="168"/>
      <c r="F126" s="168"/>
      <c r="G126" s="168"/>
      <c r="H126" s="186"/>
      <c r="I126" s="197"/>
      <c r="J126" s="168"/>
      <c r="K126" s="168"/>
      <c r="L126" s="168"/>
      <c r="M126" s="168"/>
    </row>
    <row r="127" spans="2:15">
      <c r="B127" s="170">
        <f>+B112+1</f>
        <v>59</v>
      </c>
      <c r="C127" s="171"/>
      <c r="D127" s="205" t="s">
        <v>32</v>
      </c>
      <c r="E127" s="168" t="s">
        <v>484</v>
      </c>
      <c r="F127" s="186"/>
      <c r="G127" s="1396">
        <v>0</v>
      </c>
      <c r="H127" s="186"/>
      <c r="I127" s="190"/>
      <c r="J127" s="191"/>
      <c r="K127" s="186"/>
      <c r="L127" s="203"/>
      <c r="M127" s="168"/>
    </row>
    <row r="128" spans="2:15">
      <c r="B128" s="170">
        <f t="shared" ref="B128:B134" si="3">+B127+1</f>
        <v>60</v>
      </c>
      <c r="C128" s="171"/>
      <c r="D128" s="205" t="s">
        <v>38</v>
      </c>
      <c r="E128" s="168" t="s">
        <v>198</v>
      </c>
      <c r="F128" s="186"/>
      <c r="G128" s="143">
        <v>0</v>
      </c>
      <c r="H128" s="186"/>
      <c r="I128" s="190"/>
      <c r="J128" s="191"/>
      <c r="K128" s="186"/>
      <c r="L128" s="203"/>
      <c r="M128" s="168"/>
    </row>
    <row r="129" spans="2:15" ht="15.75" thickBot="1">
      <c r="B129" s="170">
        <f t="shared" si="3"/>
        <v>61</v>
      </c>
      <c r="C129" s="171"/>
      <c r="D129" s="205" t="s">
        <v>425</v>
      </c>
      <c r="E129" s="168" t="s">
        <v>197</v>
      </c>
      <c r="F129" s="186"/>
      <c r="G129" s="141">
        <v>3281900.2859948399</v>
      </c>
      <c r="H129" s="280"/>
      <c r="I129" s="209"/>
      <c r="J129" s="209"/>
      <c r="K129" s="173"/>
      <c r="L129" s="173"/>
      <c r="M129" s="165"/>
      <c r="N129" s="168"/>
      <c r="O129" s="168"/>
    </row>
    <row r="130" spans="2:15">
      <c r="B130" s="170">
        <f t="shared" si="3"/>
        <v>62</v>
      </c>
      <c r="C130" s="171"/>
      <c r="D130" s="205" t="s">
        <v>39</v>
      </c>
      <c r="E130" s="186" t="str">
        <f>"(sum lns "&amp;B127&amp;"  to "&amp;B129&amp;")"</f>
        <v>(sum lns 59  to 61)</v>
      </c>
      <c r="F130" s="186"/>
      <c r="G130" s="203">
        <f>SUM(G127:G129)</f>
        <v>3281900.2859948399</v>
      </c>
      <c r="H130" s="203"/>
      <c r="I130" s="209"/>
      <c r="J130" s="209"/>
      <c r="K130" s="173"/>
      <c r="L130" s="173"/>
      <c r="M130" s="165"/>
      <c r="N130" s="168"/>
      <c r="O130" s="168"/>
    </row>
    <row r="131" spans="2:15">
      <c r="B131" s="170">
        <f t="shared" si="3"/>
        <v>63</v>
      </c>
      <c r="C131" s="171"/>
      <c r="D131" s="205" t="s">
        <v>123</v>
      </c>
      <c r="E131" s="186" t="str">
        <f>"(Note G) (Worksheet F, ln "&amp;'WS F Misc Exp'!A33&amp;".C)"</f>
        <v>(Note G) (Worksheet F, ln 14.C)</v>
      </c>
      <c r="F131" s="186"/>
      <c r="G131" s="203">
        <f>+'WS F Misc Exp'!D33</f>
        <v>174428.06407185999</v>
      </c>
      <c r="H131" s="203"/>
      <c r="I131" s="209"/>
      <c r="J131" s="209"/>
      <c r="K131" s="173"/>
      <c r="L131" s="173"/>
      <c r="M131" s="165"/>
      <c r="N131" s="168"/>
      <c r="O131" s="168"/>
    </row>
    <row r="132" spans="2:15">
      <c r="B132" s="170">
        <f t="shared" si="3"/>
        <v>64</v>
      </c>
      <c r="C132" s="171"/>
      <c r="D132" s="205" t="s">
        <v>352</v>
      </c>
      <c r="E132" s="186" t="s">
        <v>391</v>
      </c>
      <c r="F132" s="186"/>
      <c r="G132" s="145">
        <v>0</v>
      </c>
      <c r="H132" s="203"/>
      <c r="I132" s="209"/>
      <c r="J132" s="209"/>
      <c r="K132" s="173"/>
      <c r="L132" s="173"/>
      <c r="M132" s="165"/>
      <c r="N132" s="168"/>
      <c r="O132" s="168"/>
    </row>
    <row r="133" spans="2:15" ht="15.75" thickBot="1">
      <c r="B133" s="170">
        <f t="shared" si="3"/>
        <v>65</v>
      </c>
      <c r="C133" s="194"/>
      <c r="D133" s="205" t="s">
        <v>127</v>
      </c>
      <c r="E133" s="186" t="str">
        <f>"(Note I) (Worksheet F, ln "&amp;'WS F Misc Exp'!A21&amp;".C)"</f>
        <v>(Note I) (Worksheet F, ln 4.C)</v>
      </c>
      <c r="F133" s="186"/>
      <c r="G133" s="242">
        <f>+'WS F Misc Exp'!D21</f>
        <v>0</v>
      </c>
      <c r="H133" s="203"/>
      <c r="I133" s="263"/>
      <c r="J133" s="263"/>
      <c r="K133" s="173"/>
      <c r="L133" s="173"/>
      <c r="M133" s="165"/>
      <c r="N133" s="168"/>
      <c r="O133" s="168"/>
    </row>
    <row r="134" spans="2:15">
      <c r="B134" s="170">
        <f t="shared" si="3"/>
        <v>66</v>
      </c>
      <c r="C134" s="171"/>
      <c r="D134" s="205" t="s">
        <v>194</v>
      </c>
      <c r="E134" s="168" t="str">
        <f>"(lns "&amp;B129&amp;" - "&amp;B131&amp;" - "&amp;B132&amp;" - "&amp;B133&amp;")"</f>
        <v>(lns 61 - 63 - 64 - 65)</v>
      </c>
      <c r="F134" s="205"/>
      <c r="G134" s="203">
        <f>G129-G131-G132-G133</f>
        <v>3107472.2219229797</v>
      </c>
      <c r="H134" s="186"/>
      <c r="I134" s="197" t="s">
        <v>412</v>
      </c>
      <c r="J134" s="191">
        <f>L209</f>
        <v>1</v>
      </c>
      <c r="K134" s="186"/>
      <c r="L134" s="203">
        <f>+J134*G134</f>
        <v>3107472.2219229797</v>
      </c>
      <c r="M134" s="181"/>
      <c r="N134" s="168"/>
      <c r="O134" s="168"/>
    </row>
    <row r="135" spans="2:15">
      <c r="B135" s="170"/>
      <c r="C135" s="171"/>
      <c r="D135" s="205"/>
      <c r="E135" s="186"/>
      <c r="F135" s="186"/>
      <c r="G135" s="281"/>
      <c r="H135" s="203"/>
      <c r="I135" s="209"/>
      <c r="J135" s="209"/>
      <c r="K135" s="173"/>
      <c r="L135" s="173"/>
      <c r="M135" s="165"/>
      <c r="N135" s="168"/>
      <c r="O135" s="168"/>
    </row>
    <row r="136" spans="2:15">
      <c r="B136" s="170">
        <f>+B134+1</f>
        <v>67</v>
      </c>
      <c r="C136" s="171"/>
      <c r="D136" s="162" t="s">
        <v>395</v>
      </c>
      <c r="E136" s="186" t="s">
        <v>758</v>
      </c>
      <c r="F136" s="168"/>
      <c r="G136" s="145">
        <v>582428.22622406192</v>
      </c>
      <c r="H136" s="280" t="s">
        <v>406</v>
      </c>
      <c r="I136" s="258"/>
      <c r="J136" s="258"/>
      <c r="K136" s="168"/>
      <c r="L136" s="257"/>
      <c r="M136" s="168"/>
      <c r="N136" s="168"/>
      <c r="O136" s="168"/>
    </row>
    <row r="137" spans="2:15">
      <c r="B137" s="170">
        <f t="shared" ref="B137:B143" si="4">+B136+1</f>
        <v>68</v>
      </c>
      <c r="C137" s="171"/>
      <c r="D137" s="205" t="s">
        <v>125</v>
      </c>
      <c r="E137" s="168" t="s">
        <v>199</v>
      </c>
      <c r="F137" s="168"/>
      <c r="G137" s="145">
        <v>24367.163877069299</v>
      </c>
      <c r="H137" s="203"/>
      <c r="I137" s="258"/>
      <c r="J137" s="162"/>
      <c r="K137" s="168"/>
      <c r="L137" s="257"/>
      <c r="M137" s="173"/>
      <c r="N137" s="168"/>
      <c r="O137" s="168"/>
    </row>
    <row r="138" spans="2:15">
      <c r="B138" s="170">
        <f t="shared" si="4"/>
        <v>69</v>
      </c>
      <c r="C138" s="171"/>
      <c r="D138" s="162" t="s">
        <v>124</v>
      </c>
      <c r="E138" s="168" t="s">
        <v>387</v>
      </c>
      <c r="F138" s="186"/>
      <c r="G138" s="145">
        <f>'WS F Misc Exp'!D44</f>
        <v>0</v>
      </c>
      <c r="H138" s="203"/>
      <c r="I138" s="258"/>
      <c r="J138" s="282"/>
      <c r="K138" s="168"/>
      <c r="L138" s="257"/>
      <c r="M138" s="168"/>
      <c r="N138" s="168"/>
      <c r="O138" s="168"/>
    </row>
    <row r="139" spans="2:15">
      <c r="B139" s="170">
        <f t="shared" si="4"/>
        <v>70</v>
      </c>
      <c r="C139" s="171"/>
      <c r="D139" s="205" t="s">
        <v>399</v>
      </c>
      <c r="E139" s="168" t="s">
        <v>388</v>
      </c>
      <c r="F139" s="186"/>
      <c r="G139" s="145">
        <f>'WS F Misc Exp'!D64</f>
        <v>0</v>
      </c>
      <c r="H139" s="203"/>
      <c r="I139" s="258"/>
      <c r="J139" s="258"/>
      <c r="K139" s="168"/>
      <c r="L139" s="257"/>
      <c r="M139" s="168"/>
      <c r="N139" s="168"/>
      <c r="O139" s="168"/>
    </row>
    <row r="140" spans="2:15">
      <c r="B140" s="170">
        <f t="shared" si="4"/>
        <v>71</v>
      </c>
      <c r="C140" s="171"/>
      <c r="D140" s="205" t="s">
        <v>126</v>
      </c>
      <c r="E140" s="168" t="s">
        <v>389</v>
      </c>
      <c r="F140" s="186"/>
      <c r="G140" s="145">
        <f>'WS F Misc Exp'!D72</f>
        <v>6622.5650998609308</v>
      </c>
      <c r="H140" s="203"/>
      <c r="I140" s="258"/>
      <c r="J140" s="258"/>
      <c r="K140" s="168"/>
      <c r="L140" s="257"/>
      <c r="M140" s="168"/>
      <c r="N140" s="168"/>
      <c r="O140" s="168"/>
    </row>
    <row r="141" spans="2:15">
      <c r="B141" s="170">
        <f>+B140+1</f>
        <v>72</v>
      </c>
      <c r="C141" s="171"/>
      <c r="D141" s="162" t="s">
        <v>400</v>
      </c>
      <c r="E141" s="186" t="str">
        <f>"(ln "&amp;B136&amp;" - sum ln "&amp;B137&amp;"  to ln "&amp;B140&amp;")"</f>
        <v>(ln 67 - sum ln 68  to ln 71)</v>
      </c>
      <c r="F141" s="186"/>
      <c r="G141" s="203">
        <f>G136-SUM(G137:G140)</f>
        <v>551438.49724713166</v>
      </c>
      <c r="H141" s="203"/>
      <c r="I141" s="197" t="s">
        <v>422</v>
      </c>
      <c r="J141" s="191">
        <f>L219</f>
        <v>1</v>
      </c>
      <c r="K141" s="168"/>
      <c r="L141" s="257">
        <f>+J141*G141</f>
        <v>551438.49724713166</v>
      </c>
      <c r="M141" s="168"/>
      <c r="N141" s="168"/>
      <c r="O141" s="168"/>
    </row>
    <row r="142" spans="2:15">
      <c r="B142" s="170">
        <f t="shared" si="4"/>
        <v>73</v>
      </c>
      <c r="C142" s="194"/>
      <c r="D142" s="205" t="s">
        <v>479</v>
      </c>
      <c r="E142" s="186" t="str">
        <f>"(ln "&amp;B137&amp;")"</f>
        <v>(ln 68)</v>
      </c>
      <c r="F142" s="186"/>
      <c r="G142" s="203">
        <f>+G137</f>
        <v>24367.163877069299</v>
      </c>
      <c r="H142" s="203"/>
      <c r="I142" s="283" t="s">
        <v>634</v>
      </c>
      <c r="J142" s="191">
        <f>J68</f>
        <v>1</v>
      </c>
      <c r="K142" s="186"/>
      <c r="L142" s="203">
        <f>+J142*G142</f>
        <v>24367.163877069299</v>
      </c>
      <c r="M142" s="168"/>
      <c r="N142" s="168"/>
      <c r="O142" s="168"/>
    </row>
    <row r="143" spans="2:15">
      <c r="B143" s="170">
        <f t="shared" si="4"/>
        <v>74</v>
      </c>
      <c r="C143" s="171"/>
      <c r="D143" s="205" t="s">
        <v>1</v>
      </c>
      <c r="E143" s="186" t="str">
        <f>"Worksheet F ln "&amp;'WS F Misc Exp'!A44&amp;".(E) (Note L)"</f>
        <v>Worksheet F ln 21.(E) (Note L)</v>
      </c>
      <c r="F143" s="186"/>
      <c r="G143" s="203">
        <f>+'WS F Misc Exp'!F44</f>
        <v>0</v>
      </c>
      <c r="H143" s="203"/>
      <c r="I143" s="197" t="s">
        <v>412</v>
      </c>
      <c r="J143" s="191">
        <f>L209</f>
        <v>1</v>
      </c>
      <c r="K143" s="168"/>
      <c r="L143" s="257">
        <f>J143*G143</f>
        <v>0</v>
      </c>
      <c r="M143" s="168"/>
      <c r="N143" s="168"/>
      <c r="O143" s="168"/>
    </row>
    <row r="144" spans="2:15">
      <c r="B144" s="170">
        <f>B143+1</f>
        <v>75</v>
      </c>
      <c r="C144" s="171"/>
      <c r="D144" s="205" t="s">
        <v>25</v>
      </c>
      <c r="E144" s="186" t="str">
        <f>"Worksheet F ln "&amp;'WS F Misc Exp'!A64&amp;".(E) (Note L)"</f>
        <v>Worksheet F ln 38.(E) (Note L)</v>
      </c>
      <c r="F144" s="186"/>
      <c r="G144" s="189">
        <f>+'WS F Misc Exp'!F64</f>
        <v>0</v>
      </c>
      <c r="H144" s="186"/>
      <c r="I144" s="190" t="s">
        <v>412</v>
      </c>
      <c r="J144" s="191">
        <f>L209</f>
        <v>1</v>
      </c>
      <c r="K144" s="168"/>
      <c r="L144" s="257">
        <f>+J144*G144</f>
        <v>0</v>
      </c>
      <c r="M144" s="168"/>
      <c r="N144" s="168"/>
      <c r="O144" s="168"/>
    </row>
    <row r="145" spans="2:15">
      <c r="B145" s="170">
        <f>+B144+1</f>
        <v>76</v>
      </c>
      <c r="C145" s="171"/>
      <c r="D145" s="205" t="s">
        <v>26</v>
      </c>
      <c r="E145" s="186" t="str">
        <f>"Worksheet F ln "&amp;'WS F Misc Exp'!A72&amp;".(E) (Note L)"</f>
        <v>Worksheet F ln 43.(E) (Note L)</v>
      </c>
      <c r="F145" s="186"/>
      <c r="G145" s="189">
        <f>+'WS F Misc Exp'!F72</f>
        <v>287.31901828636103</v>
      </c>
      <c r="H145" s="284"/>
      <c r="I145" s="190" t="s">
        <v>420</v>
      </c>
      <c r="J145" s="191">
        <v>1</v>
      </c>
      <c r="K145" s="168"/>
      <c r="L145" s="285">
        <f>+J145*G145</f>
        <v>287.31901828636103</v>
      </c>
      <c r="M145" s="168"/>
      <c r="N145" s="168"/>
      <c r="O145" s="168"/>
    </row>
    <row r="146" spans="2:15">
      <c r="B146" s="170">
        <f>+B145+1</f>
        <v>77</v>
      </c>
      <c r="C146" s="171"/>
      <c r="D146" s="1298" t="s">
        <v>795</v>
      </c>
      <c r="E146" s="186" t="str">
        <f>"Worksheet O Ln "&amp;'Worksheet O'!A33&amp;"."&amp;'Worksheet O'!D11&amp;", (Note K &amp; M)"</f>
        <v>Worksheet O Ln 16.(B), (Note K &amp; M)</v>
      </c>
      <c r="F146" s="186"/>
      <c r="G146" s="1237">
        <f>'Worksheet O'!D33</f>
        <v>34164.914781220461</v>
      </c>
      <c r="H146" s="284"/>
      <c r="I146" s="197" t="s">
        <v>422</v>
      </c>
      <c r="J146" s="191">
        <f>L219</f>
        <v>1</v>
      </c>
      <c r="K146" s="168"/>
      <c r="L146" s="1315">
        <f>+J146*G146</f>
        <v>34164.914781220461</v>
      </c>
      <c r="M146" s="168"/>
      <c r="N146" s="168"/>
      <c r="O146" s="168"/>
    </row>
    <row r="147" spans="2:15">
      <c r="B147" s="170">
        <f>+B146+1</f>
        <v>78</v>
      </c>
      <c r="C147" s="171"/>
      <c r="D147" s="162" t="s">
        <v>401</v>
      </c>
      <c r="E147" s="186" t="str">
        <f>"(sum lns "&amp;B141&amp;"  to "&amp;B146&amp;")"</f>
        <v>(sum lns 72  to 77)</v>
      </c>
      <c r="F147" s="186"/>
      <c r="G147" s="257">
        <f>SUM(G141:G146)</f>
        <v>610257.8949237077</v>
      </c>
      <c r="H147" s="203"/>
      <c r="I147" s="197"/>
      <c r="J147" s="258"/>
      <c r="K147" s="168"/>
      <c r="L147" s="257">
        <f>SUM(L141:L146)</f>
        <v>610257.8949237077</v>
      </c>
      <c r="M147" s="168"/>
      <c r="N147" s="257"/>
      <c r="O147" s="168"/>
    </row>
    <row r="148" spans="2:15" ht="15.75" thickBot="1">
      <c r="B148" s="170"/>
      <c r="C148" s="171"/>
      <c r="D148" s="205"/>
      <c r="E148" s="186"/>
      <c r="F148" s="186"/>
      <c r="G148" s="242"/>
      <c r="H148" s="186"/>
      <c r="I148" s="197"/>
      <c r="J148" s="258"/>
      <c r="K148" s="168"/>
      <c r="L148" s="266"/>
      <c r="M148" s="168"/>
      <c r="N148" s="168"/>
      <c r="O148" s="168"/>
    </row>
    <row r="149" spans="2:15">
      <c r="B149" s="170">
        <f>+B147+1</f>
        <v>79</v>
      </c>
      <c r="C149" s="194"/>
      <c r="D149" s="205" t="s">
        <v>196</v>
      </c>
      <c r="E149" s="186" t="str">
        <f>"(ln "&amp;B134&amp;" + ln "&amp;B147&amp;")"</f>
        <v>(ln 66 + ln 78)</v>
      </c>
      <c r="F149" s="186"/>
      <c r="G149" s="203">
        <f>+G134+G147</f>
        <v>3717730.1168466872</v>
      </c>
      <c r="H149" s="203"/>
      <c r="I149" s="190"/>
      <c r="J149" s="186"/>
      <c r="K149" s="186"/>
      <c r="L149" s="203">
        <f>L134+L147</f>
        <v>3717730.1168466872</v>
      </c>
      <c r="M149" s="168"/>
      <c r="N149" s="168"/>
      <c r="O149" s="168"/>
    </row>
    <row r="150" spans="2:15" ht="15.75" thickBot="1">
      <c r="B150" s="256">
        <f>+B149+1</f>
        <v>80</v>
      </c>
      <c r="C150" s="194"/>
      <c r="D150" s="205" t="s">
        <v>272</v>
      </c>
      <c r="E150" s="205"/>
      <c r="F150" s="186"/>
      <c r="G150" s="141"/>
      <c r="H150" s="203"/>
      <c r="I150" s="197" t="s">
        <v>420</v>
      </c>
      <c r="J150" s="191">
        <f>J63</f>
        <v>0</v>
      </c>
      <c r="K150" s="186"/>
      <c r="L150" s="266">
        <f>J150*G150</f>
        <v>0</v>
      </c>
      <c r="M150" s="168"/>
      <c r="N150" s="168"/>
      <c r="O150" s="168"/>
    </row>
    <row r="151" spans="2:15">
      <c r="B151" s="170">
        <f>+B150+1</f>
        <v>81</v>
      </c>
      <c r="C151" s="171"/>
      <c r="D151" s="205" t="s">
        <v>402</v>
      </c>
      <c r="E151" s="186" t="str">
        <f>"(ln "&amp;B149&amp;" + ln "&amp;B150&amp;")"</f>
        <v>(ln 79 + ln 80)</v>
      </c>
      <c r="F151" s="186"/>
      <c r="G151" s="203">
        <f>+G149+G150</f>
        <v>3717730.1168466872</v>
      </c>
      <c r="H151" s="203"/>
      <c r="I151" s="190"/>
      <c r="J151" s="186"/>
      <c r="K151" s="186"/>
      <c r="L151" s="203">
        <f>+L149+L150</f>
        <v>3717730.1168466872</v>
      </c>
      <c r="M151" s="168"/>
      <c r="N151" s="168"/>
      <c r="O151" s="168"/>
    </row>
    <row r="152" spans="2:15">
      <c r="B152" s="170"/>
      <c r="C152" s="171"/>
      <c r="D152" s="205"/>
      <c r="E152" s="168"/>
      <c r="F152" s="168"/>
      <c r="G152" s="257"/>
      <c r="H152" s="186"/>
      <c r="I152" s="168"/>
      <c r="J152" s="168"/>
      <c r="K152" s="168"/>
      <c r="L152" s="257"/>
      <c r="M152" s="168"/>
      <c r="N152" s="168"/>
      <c r="O152" s="168"/>
    </row>
    <row r="153" spans="2:15">
      <c r="B153" s="170">
        <f>+B151+1</f>
        <v>82</v>
      </c>
      <c r="C153" s="171"/>
      <c r="D153" s="241" t="s">
        <v>405</v>
      </c>
      <c r="E153" s="190"/>
      <c r="F153" s="190"/>
      <c r="G153" s="257"/>
      <c r="H153" s="186"/>
      <c r="I153" s="197"/>
      <c r="J153" s="168"/>
      <c r="K153" s="168"/>
      <c r="L153" s="257"/>
      <c r="M153" s="168"/>
      <c r="N153" s="168"/>
      <c r="O153" s="168"/>
    </row>
    <row r="154" spans="2:15">
      <c r="B154" s="256">
        <f>+B153+1</f>
        <v>83</v>
      </c>
      <c r="C154" s="171"/>
      <c r="D154" s="234" t="str">
        <f>+D129</f>
        <v xml:space="preserve">  Transmission </v>
      </c>
      <c r="E154" s="185" t="s">
        <v>200</v>
      </c>
      <c r="F154" s="286"/>
      <c r="G154" s="149">
        <v>4049576.4822283401</v>
      </c>
      <c r="H154" s="287"/>
      <c r="I154" s="288" t="s">
        <v>412</v>
      </c>
      <c r="J154" s="191">
        <f>L209</f>
        <v>1</v>
      </c>
      <c r="K154" s="239"/>
      <c r="L154" s="289">
        <f>J154*G154</f>
        <v>4049576.4822283401</v>
      </c>
      <c r="M154" s="239"/>
      <c r="N154" s="168"/>
      <c r="O154" s="168"/>
    </row>
    <row r="155" spans="2:15">
      <c r="B155" s="170">
        <f>+B154+1</f>
        <v>84</v>
      </c>
      <c r="C155" s="171"/>
      <c r="D155" s="241" t="s">
        <v>426</v>
      </c>
      <c r="E155" s="286" t="s">
        <v>201</v>
      </c>
      <c r="F155" s="168"/>
      <c r="G155" s="149">
        <v>36243.020124687398</v>
      </c>
      <c r="H155" s="203"/>
      <c r="I155" s="197" t="s">
        <v>422</v>
      </c>
      <c r="J155" s="191">
        <f>L219</f>
        <v>1</v>
      </c>
      <c r="K155" s="168"/>
      <c r="L155" s="257">
        <f>+J155*G155</f>
        <v>36243.020124687398</v>
      </c>
      <c r="M155" s="168"/>
      <c r="N155" s="186"/>
      <c r="O155" s="168"/>
    </row>
    <row r="156" spans="2:15" ht="15.75" thickBot="1">
      <c r="B156" s="170">
        <f>+B155+1</f>
        <v>85</v>
      </c>
      <c r="C156" s="171"/>
      <c r="D156" s="241" t="s">
        <v>427</v>
      </c>
      <c r="E156" s="235" t="s">
        <v>202</v>
      </c>
      <c r="F156" s="186"/>
      <c r="G156" s="1318">
        <v>330855.67598730803</v>
      </c>
      <c r="H156" s="203"/>
      <c r="I156" s="197" t="s">
        <v>422</v>
      </c>
      <c r="J156" s="191">
        <f>L219</f>
        <v>1</v>
      </c>
      <c r="K156" s="168"/>
      <c r="L156" s="266">
        <f>+J156*G156</f>
        <v>330855.67598730803</v>
      </c>
      <c r="M156" s="168"/>
      <c r="N156" s="186"/>
      <c r="O156" s="168"/>
    </row>
    <row r="157" spans="2:15" ht="15" customHeight="1">
      <c r="B157" s="170">
        <f>+B156+1</f>
        <v>86</v>
      </c>
      <c r="C157" s="171"/>
      <c r="D157" s="241" t="s">
        <v>96</v>
      </c>
      <c r="E157" s="290" t="str">
        <f>"(Ln "&amp;B154&amp;"+"&amp;B155&amp;"+"&amp;B156&amp;")"</f>
        <v>(Ln 83+84+85)</v>
      </c>
      <c r="F157" s="168"/>
      <c r="G157" s="203">
        <f>+G154+G155+G156</f>
        <v>4416675.1783403354</v>
      </c>
      <c r="H157" s="186"/>
      <c r="I157" s="197"/>
      <c r="J157" s="168"/>
      <c r="K157" s="168"/>
      <c r="L157" s="203">
        <f>+L154+L155+L156</f>
        <v>4416675.1783403354</v>
      </c>
      <c r="M157" s="168"/>
      <c r="N157" s="168"/>
      <c r="O157" s="168"/>
    </row>
    <row r="158" spans="2:15">
      <c r="B158" s="170"/>
      <c r="C158" s="171"/>
      <c r="D158" s="241"/>
      <c r="E158" s="291"/>
      <c r="F158" s="168"/>
      <c r="G158" s="257"/>
      <c r="H158" s="186"/>
      <c r="I158" s="197"/>
      <c r="J158" s="168"/>
      <c r="K158" s="168"/>
      <c r="L158" s="257"/>
      <c r="M158" s="168"/>
      <c r="N158" s="168"/>
      <c r="O158" s="168"/>
    </row>
    <row r="159" spans="2:15">
      <c r="B159" s="170">
        <f>+B157+1</f>
        <v>87</v>
      </c>
      <c r="C159" s="171"/>
      <c r="D159" s="241" t="s">
        <v>357</v>
      </c>
      <c r="E159" s="160" t="s">
        <v>203</v>
      </c>
      <c r="G159" s="257"/>
      <c r="H159" s="186"/>
      <c r="I159" s="197"/>
      <c r="J159" s="168"/>
      <c r="K159" s="168"/>
      <c r="L159" s="257"/>
      <c r="M159" s="168"/>
      <c r="N159" s="292"/>
      <c r="O159" s="168"/>
    </row>
    <row r="160" spans="2:15">
      <c r="B160" s="170">
        <f t="shared" ref="B160:B165" si="5">+B159+1</f>
        <v>88</v>
      </c>
      <c r="C160" s="171"/>
      <c r="D160" s="241" t="s">
        <v>428</v>
      </c>
      <c r="G160" s="257"/>
      <c r="H160" s="186"/>
      <c r="I160" s="197"/>
      <c r="K160" s="168"/>
      <c r="L160" s="257"/>
      <c r="M160" s="168"/>
      <c r="N160" s="168"/>
      <c r="O160" s="168"/>
    </row>
    <row r="161" spans="2:15">
      <c r="B161" s="170">
        <f t="shared" si="5"/>
        <v>89</v>
      </c>
      <c r="C161" s="171"/>
      <c r="D161" s="241" t="s">
        <v>429</v>
      </c>
      <c r="E161" s="186" t="str">
        <f>"Worksheet H ln "&amp;'WS H-p1 Other Taxes'!A43&amp;"."&amp;'WS H-p1 Other Taxes'!I10&amp;""</f>
        <v>Worksheet H ln 23.(D)</v>
      </c>
      <c r="F161" s="168"/>
      <c r="G161" s="203">
        <f>+'WS H-p1 Other Taxes'!I43</f>
        <v>0</v>
      </c>
      <c r="H161" s="203"/>
      <c r="I161" s="197" t="s">
        <v>422</v>
      </c>
      <c r="J161" s="191">
        <f>L219</f>
        <v>1</v>
      </c>
      <c r="K161" s="168"/>
      <c r="L161" s="257">
        <f>+J161*G161</f>
        <v>0</v>
      </c>
      <c r="M161" s="262"/>
      <c r="N161" s="168"/>
      <c r="O161" s="168"/>
    </row>
    <row r="162" spans="2:15">
      <c r="B162" s="170">
        <f t="shared" si="5"/>
        <v>90</v>
      </c>
      <c r="C162" s="171"/>
      <c r="D162" s="241" t="s">
        <v>430</v>
      </c>
      <c r="E162" s="186" t="s">
        <v>406</v>
      </c>
      <c r="F162" s="168"/>
      <c r="G162" s="203"/>
      <c r="H162" s="203"/>
      <c r="I162" s="197"/>
      <c r="K162" s="168"/>
      <c r="L162" s="257"/>
      <c r="M162" s="186"/>
      <c r="N162" s="168"/>
      <c r="O162" s="168"/>
    </row>
    <row r="163" spans="2:15">
      <c r="B163" s="193">
        <f t="shared" si="5"/>
        <v>91</v>
      </c>
      <c r="C163" s="194"/>
      <c r="D163" s="240" t="s">
        <v>431</v>
      </c>
      <c r="E163" s="186" t="str">
        <f>"Worksheet H-p2 ln "&amp;'WS H-p2 Detail of Tax Amts'!A22&amp;"."&amp;'WS H-p2 Detail of Tax Amts'!E19&amp; " &amp; ln "&amp;'WS H-p2 Detail of Tax Amts'!A22&amp;"."&amp;'WS H-p2 Detail of Tax Amts'!I19&amp;""</f>
        <v>Worksheet H-p2 ln 3.(C) &amp; ln 3.(G)</v>
      </c>
      <c r="F163" s="186"/>
      <c r="G163" s="203">
        <f>'WS H-p2 Detail of Tax Amts'!E22</f>
        <v>873999.99999999895</v>
      </c>
      <c r="H163" s="203"/>
      <c r="I163" s="190" t="s">
        <v>420</v>
      </c>
      <c r="J163" s="191">
        <v>1</v>
      </c>
      <c r="K163" s="186"/>
      <c r="L163" s="203">
        <f>'WS H-p2 Detail of Tax Amts'!I22</f>
        <v>873999.99999999895</v>
      </c>
      <c r="M163" s="293"/>
      <c r="N163" s="292"/>
      <c r="O163" s="186"/>
    </row>
    <row r="164" spans="2:15">
      <c r="B164" s="170">
        <f t="shared" si="5"/>
        <v>92</v>
      </c>
      <c r="C164" s="171"/>
      <c r="D164" s="241" t="s">
        <v>482</v>
      </c>
      <c r="E164" s="186" t="str">
        <f>"Worksheet H ln "&amp;'WS H-p1 Other Taxes'!A43&amp;"."&amp;'WS H-p1 Other Taxes'!M10&amp;""</f>
        <v>Worksheet H ln 23.(F)</v>
      </c>
      <c r="F164" s="168"/>
      <c r="G164" s="203">
        <f>+'WS H-p1 Other Taxes'!M43</f>
        <v>0</v>
      </c>
      <c r="H164" s="263"/>
      <c r="I164" s="197" t="s">
        <v>418</v>
      </c>
      <c r="J164" s="191">
        <v>0</v>
      </c>
      <c r="K164" s="168"/>
      <c r="L164" s="257">
        <f>+J164*G164</f>
        <v>0</v>
      </c>
      <c r="M164" s="186"/>
      <c r="N164" s="168"/>
      <c r="O164" s="168"/>
    </row>
    <row r="165" spans="2:15" ht="15.75" thickBot="1">
      <c r="B165" s="170">
        <f t="shared" si="5"/>
        <v>93</v>
      </c>
      <c r="C165" s="171"/>
      <c r="D165" s="241" t="s">
        <v>432</v>
      </c>
      <c r="E165" s="186" t="str">
        <f>"Worksheet H ln "&amp;'WS H-p1 Other Taxes'!A43&amp;"."&amp;'WS H-p1 Other Taxes'!K10&amp;""</f>
        <v>Worksheet H ln 23.(E)</v>
      </c>
      <c r="F165" s="168"/>
      <c r="G165" s="242">
        <f>+'WS H-p1 Other Taxes'!K43</f>
        <v>314225</v>
      </c>
      <c r="H165" s="263"/>
      <c r="I165" s="197" t="s">
        <v>761</v>
      </c>
      <c r="J165" s="191">
        <f>J68</f>
        <v>1</v>
      </c>
      <c r="K165" s="168"/>
      <c r="L165" s="266">
        <f>+J165*G165</f>
        <v>314225</v>
      </c>
      <c r="M165" s="186"/>
      <c r="N165" s="168"/>
      <c r="O165" s="168"/>
    </row>
    <row r="166" spans="2:15">
      <c r="B166" s="170">
        <f>+B165+1</f>
        <v>94</v>
      </c>
      <c r="C166" s="171"/>
      <c r="D166" s="241" t="s">
        <v>358</v>
      </c>
      <c r="E166" s="196" t="str">
        <f>"(sum lns "&amp;B161&amp;" to "&amp;B165&amp;")"</f>
        <v>(sum lns 89 to 93)</v>
      </c>
      <c r="F166" s="168"/>
      <c r="G166" s="203">
        <f>SUM(G161:G165)</f>
        <v>1188224.9999999991</v>
      </c>
      <c r="H166" s="186"/>
      <c r="I166" s="197"/>
      <c r="J166" s="294"/>
      <c r="K166" s="168"/>
      <c r="L166" s="257">
        <f>SUM(L161:L165)</f>
        <v>1188224.9999999991</v>
      </c>
      <c r="M166" s="168"/>
      <c r="N166" s="168"/>
      <c r="O166" s="168"/>
    </row>
    <row r="167" spans="2:15">
      <c r="B167" s="170"/>
      <c r="C167" s="171"/>
      <c r="D167" s="241"/>
      <c r="E167" s="168"/>
      <c r="F167" s="168"/>
      <c r="G167" s="168"/>
      <c r="H167" s="186"/>
      <c r="I167" s="197"/>
      <c r="J167" s="294"/>
      <c r="K167" s="168"/>
      <c r="L167" s="168"/>
      <c r="M167" s="295"/>
      <c r="N167" s="168"/>
      <c r="O167" s="168"/>
    </row>
    <row r="168" spans="2:15">
      <c r="B168" s="170">
        <f>+B166+1</f>
        <v>95</v>
      </c>
      <c r="C168" s="171"/>
      <c r="D168" s="241" t="s">
        <v>131</v>
      </c>
      <c r="E168" s="186" t="s">
        <v>204</v>
      </c>
      <c r="F168" s="296"/>
      <c r="G168" s="168"/>
      <c r="H168" s="209"/>
      <c r="I168" s="271"/>
      <c r="K168" s="168"/>
      <c r="L168" s="297"/>
      <c r="M168" s="168"/>
      <c r="N168" s="168"/>
      <c r="O168" s="168"/>
    </row>
    <row r="169" spans="2:15">
      <c r="B169" s="170">
        <f t="shared" ref="B169:B174" si="6">+B168+1</f>
        <v>96</v>
      </c>
      <c r="C169" s="171"/>
      <c r="D169" s="298" t="s">
        <v>132</v>
      </c>
      <c r="E169" s="168"/>
      <c r="F169" s="299"/>
      <c r="G169" s="300">
        <f>IF(F341&gt;0,1-(((1-F342)*(1-F341))/(1-F342*F341*F343)),0)</f>
        <v>0.26142900000000002</v>
      </c>
      <c r="H169" s="301"/>
      <c r="I169" s="301"/>
      <c r="K169" s="302"/>
      <c r="L169" s="297"/>
      <c r="M169" s="168"/>
      <c r="N169" s="168"/>
      <c r="O169" s="168"/>
    </row>
    <row r="170" spans="2:15">
      <c r="B170" s="170">
        <f t="shared" si="6"/>
        <v>97</v>
      </c>
      <c r="C170" s="171"/>
      <c r="D170" s="261" t="s">
        <v>133</v>
      </c>
      <c r="E170" s="168"/>
      <c r="F170" s="299"/>
      <c r="G170" s="300">
        <f>IF(L233&gt;0,($G169/(1-$G169))*(1-$L233/$L236),0)</f>
        <v>0.26182745893581627</v>
      </c>
      <c r="H170" s="301"/>
      <c r="I170" s="301"/>
      <c r="K170" s="302"/>
      <c r="L170" s="297"/>
      <c r="M170" s="168"/>
      <c r="N170" s="168"/>
      <c r="O170" s="168"/>
    </row>
    <row r="171" spans="2:15">
      <c r="B171" s="170">
        <f t="shared" si="6"/>
        <v>98</v>
      </c>
      <c r="C171" s="171"/>
      <c r="D171" s="240" t="str">
        <f>"       where WCLTD=(ln "&amp;B233&amp;") and WACC = (ln "&amp;B236&amp;")"</f>
        <v xml:space="preserve">       where WCLTD=(ln 136) and WACC = (ln 139)</v>
      </c>
      <c r="E171" s="186"/>
      <c r="F171" s="303"/>
      <c r="G171" s="168"/>
      <c r="H171" s="301"/>
      <c r="I171" s="301"/>
      <c r="J171" s="304"/>
      <c r="K171" s="302"/>
      <c r="L171" s="305"/>
      <c r="M171" s="168"/>
      <c r="N171" s="168"/>
      <c r="O171" s="168"/>
    </row>
    <row r="172" spans="2:15">
      <c r="B172" s="170">
        <f t="shared" si="6"/>
        <v>99</v>
      </c>
      <c r="C172" s="171"/>
      <c r="D172" s="241" t="s">
        <v>205</v>
      </c>
      <c r="E172" s="306"/>
      <c r="F172" s="299"/>
      <c r="G172" s="168"/>
      <c r="H172" s="209"/>
      <c r="I172" s="271"/>
      <c r="J172" s="304"/>
      <c r="K172" s="302"/>
      <c r="L172" s="297"/>
      <c r="M172" s="168"/>
      <c r="N172" s="168"/>
      <c r="O172" s="168"/>
    </row>
    <row r="173" spans="2:15">
      <c r="B173" s="170">
        <f t="shared" si="6"/>
        <v>100</v>
      </c>
      <c r="C173" s="171"/>
      <c r="D173" s="307" t="str">
        <f>"      GRCF=1 / (1 - T)  = (from ln "&amp;B169&amp;")"</f>
        <v xml:space="preserve">      GRCF=1 / (1 - T)  = (from ln 96)</v>
      </c>
      <c r="E173" s="296"/>
      <c r="F173" s="296"/>
      <c r="G173" s="308">
        <f>IF(G169&gt;0,1/(1-G169),0)</f>
        <v>1.3539659694193247</v>
      </c>
      <c r="H173" s="209"/>
      <c r="I173" s="213"/>
      <c r="J173" s="309"/>
      <c r="K173" s="310"/>
      <c r="L173" s="311"/>
      <c r="M173" s="168"/>
      <c r="N173" s="168"/>
      <c r="O173" s="168"/>
    </row>
    <row r="174" spans="2:15">
      <c r="B174" s="170">
        <f t="shared" si="6"/>
        <v>101</v>
      </c>
      <c r="C174" s="171"/>
      <c r="D174" s="240" t="s">
        <v>134</v>
      </c>
      <c r="E174" s="251" t="s">
        <v>292</v>
      </c>
      <c r="F174" s="303"/>
      <c r="G174" s="149">
        <v>0</v>
      </c>
      <c r="H174" s="348"/>
      <c r="I174" s="283"/>
      <c r="J174" s="1243"/>
      <c r="K174" s="203"/>
      <c r="L174" s="160"/>
      <c r="M174" s="197"/>
      <c r="N174" s="168"/>
      <c r="O174" s="168"/>
    </row>
    <row r="175" spans="2:15">
      <c r="B175" s="170">
        <f t="shared" ref="B175:B181" si="7">+B174+1</f>
        <v>102</v>
      </c>
      <c r="C175" s="171"/>
      <c r="D175" s="240" t="s">
        <v>550</v>
      </c>
      <c r="E175" s="186" t="s">
        <v>762</v>
      </c>
      <c r="F175" s="1235"/>
      <c r="G175" s="149">
        <v>1019.99999999999</v>
      </c>
      <c r="H175" s="348"/>
      <c r="I175" s="315" t="s">
        <v>638</v>
      </c>
      <c r="J175" s="191">
        <f>NP_h</f>
        <v>1</v>
      </c>
      <c r="K175" s="203"/>
      <c r="L175" s="189">
        <f>+G175*J175</f>
        <v>1019.99999999999</v>
      </c>
      <c r="M175" s="168"/>
      <c r="N175" s="168"/>
      <c r="O175" s="168"/>
    </row>
    <row r="176" spans="2:15">
      <c r="B176" s="170">
        <f t="shared" si="7"/>
        <v>103</v>
      </c>
      <c r="C176" s="171"/>
      <c r="D176" s="240" t="s">
        <v>637</v>
      </c>
      <c r="E176" s="186" t="s">
        <v>762</v>
      </c>
      <c r="F176" s="1235"/>
      <c r="G176" s="149">
        <v>21066.367515653448</v>
      </c>
      <c r="H176" s="348"/>
      <c r="I176" s="315" t="s">
        <v>638</v>
      </c>
      <c r="J176" s="191">
        <f>NP_h</f>
        <v>1</v>
      </c>
      <c r="K176" s="203"/>
      <c r="L176" s="189">
        <f>+G176*J176</f>
        <v>21066.367515653448</v>
      </c>
      <c r="M176" s="168"/>
      <c r="N176" s="168"/>
      <c r="O176" s="168"/>
    </row>
    <row r="177" spans="2:15">
      <c r="B177" s="170">
        <f t="shared" si="7"/>
        <v>104</v>
      </c>
      <c r="C177" s="171"/>
      <c r="D177" s="307" t="s">
        <v>135</v>
      </c>
      <c r="E177" s="312" t="str">
        <f>"(ln "&amp;B170&amp;" * ln "&amp;B183&amp;")"</f>
        <v>(ln 97 * ln 109)</v>
      </c>
      <c r="F177" s="313"/>
      <c r="G177" s="203">
        <f>+G170*G183</f>
        <v>2375566.2356615346</v>
      </c>
      <c r="H177" s="348"/>
      <c r="I177" s="283"/>
      <c r="J177" s="1236"/>
      <c r="K177" s="203"/>
      <c r="L177" s="203">
        <f>+L183*G170</f>
        <v>2409961.7624700372</v>
      </c>
      <c r="M177" s="168"/>
      <c r="N177" s="168"/>
      <c r="O177" s="168"/>
    </row>
    <row r="178" spans="2:15">
      <c r="B178" s="170">
        <f t="shared" si="7"/>
        <v>105</v>
      </c>
      <c r="C178" s="171"/>
      <c r="D178" s="327" t="s">
        <v>136</v>
      </c>
      <c r="E178" s="312" t="str">
        <f>"(ln "&amp;B173&amp;" * ln "&amp;B174&amp;")"</f>
        <v>(ln 100 * ln 101)</v>
      </c>
      <c r="F178" s="312"/>
      <c r="G178" s="189">
        <f>G173*G174</f>
        <v>0</v>
      </c>
      <c r="H178" s="348"/>
      <c r="I178" s="315" t="s">
        <v>638</v>
      </c>
      <c r="J178" s="191">
        <f>NP_h</f>
        <v>1</v>
      </c>
      <c r="K178" s="203"/>
      <c r="L178" s="189">
        <f>+G178*J178</f>
        <v>0</v>
      </c>
      <c r="M178" s="168"/>
      <c r="N178" s="168"/>
      <c r="O178" s="168"/>
    </row>
    <row r="179" spans="2:15">
      <c r="B179" s="170">
        <f t="shared" si="7"/>
        <v>106</v>
      </c>
      <c r="C179" s="171"/>
      <c r="D179" s="327" t="s">
        <v>550</v>
      </c>
      <c r="E179" s="312" t="str">
        <f>"(ln "&amp;B173&amp;" * ln "&amp;B175&amp;")"</f>
        <v>(ln 100 * ln 102)</v>
      </c>
      <c r="F179" s="312"/>
      <c r="G179" s="189">
        <f>G173*G175</f>
        <v>1381.0452888076977</v>
      </c>
      <c r="H179" s="348"/>
      <c r="I179" s="315"/>
      <c r="J179" s="191"/>
      <c r="K179" s="203"/>
      <c r="L179" s="189">
        <f>G173*L175</f>
        <v>1381.0452888076977</v>
      </c>
      <c r="M179" s="168"/>
      <c r="N179" s="168"/>
      <c r="O179" s="168"/>
    </row>
    <row r="180" spans="2:15">
      <c r="B180" s="170">
        <f t="shared" si="7"/>
        <v>107</v>
      </c>
      <c r="C180" s="171"/>
      <c r="D180" s="240" t="s">
        <v>637</v>
      </c>
      <c r="E180" s="312" t="str">
        <f>"(ln "&amp;B173&amp;" * ln "&amp;B176&amp;")"</f>
        <v>(ln 100 * ln 103)</v>
      </c>
      <c r="F180" s="312"/>
      <c r="G180" s="1237">
        <f>G173*G176</f>
        <v>28523.14471547549</v>
      </c>
      <c r="H180" s="348"/>
      <c r="I180" s="315"/>
      <c r="J180" s="191"/>
      <c r="K180" s="203"/>
      <c r="L180" s="1237">
        <f>G173*L176</f>
        <v>28523.14471547549</v>
      </c>
      <c r="M180" s="168"/>
      <c r="N180" s="168"/>
      <c r="O180" s="168"/>
    </row>
    <row r="181" spans="2:15">
      <c r="B181" s="256">
        <f t="shared" si="7"/>
        <v>108</v>
      </c>
      <c r="C181" s="171"/>
      <c r="D181" s="298" t="s">
        <v>359</v>
      </c>
      <c r="E181" s="168" t="str">
        <f>"(sum lns "&amp;B177&amp;" to "&amp;B180&amp;")"</f>
        <v>(sum lns 104 to 107)</v>
      </c>
      <c r="F181" s="312"/>
      <c r="G181" s="315">
        <f>SUM(G177:G180)</f>
        <v>2405470.4256658177</v>
      </c>
      <c r="H181" s="209"/>
      <c r="I181" s="213" t="s">
        <v>406</v>
      </c>
      <c r="J181" s="316"/>
      <c r="K181" s="257"/>
      <c r="L181" s="315">
        <f>SUM(L177:L180)</f>
        <v>2439865.9524743203</v>
      </c>
      <c r="M181" s="168"/>
      <c r="N181" s="168"/>
      <c r="O181" s="168"/>
    </row>
    <row r="182" spans="2:15">
      <c r="B182" s="256"/>
      <c r="C182" s="171"/>
      <c r="D182" s="298"/>
      <c r="E182" s="168"/>
      <c r="F182" s="312"/>
      <c r="G182" s="315"/>
      <c r="H182" s="209"/>
      <c r="I182" s="213"/>
      <c r="J182" s="316"/>
      <c r="K182" s="257"/>
      <c r="L182" s="315"/>
      <c r="M182" s="168"/>
      <c r="N182" s="168"/>
      <c r="O182" s="168"/>
    </row>
    <row r="183" spans="2:15">
      <c r="B183" s="256">
        <f>+B181+1</f>
        <v>109</v>
      </c>
      <c r="C183" s="171"/>
      <c r="D183" s="307" t="s">
        <v>481</v>
      </c>
      <c r="E183" s="307" t="str">
        <f>"(ln "&amp;B112&amp;" * ln "&amp;B236&amp;")"</f>
        <v>(ln 58 * ln 139)</v>
      </c>
      <c r="F183" s="268"/>
      <c r="G183" s="317">
        <f>+$L236*G112</f>
        <v>9073021.7728762925</v>
      </c>
      <c r="H183" s="186"/>
      <c r="I183" s="213"/>
      <c r="J183" s="257"/>
      <c r="K183" s="257"/>
      <c r="L183" s="317">
        <f>+L236*L112</f>
        <v>9204388.9218693804</v>
      </c>
      <c r="M183" s="168"/>
      <c r="N183" s="297"/>
      <c r="O183" s="297"/>
    </row>
    <row r="184" spans="2:15">
      <c r="B184" s="170"/>
      <c r="C184" s="171"/>
      <c r="D184" s="298"/>
      <c r="G184" s="257"/>
      <c r="H184" s="257"/>
      <c r="I184" s="213"/>
      <c r="J184" s="213"/>
      <c r="K184" s="257"/>
      <c r="L184" s="257"/>
      <c r="M184" s="168"/>
    </row>
    <row r="185" spans="2:15">
      <c r="B185" s="170">
        <f>+B183+1</f>
        <v>110</v>
      </c>
      <c r="C185" s="171"/>
      <c r="D185" s="318" t="s">
        <v>390</v>
      </c>
      <c r="F185" s="286"/>
      <c r="G185" s="203">
        <f>-'WS D IPP Credits'!C13</f>
        <v>0</v>
      </c>
      <c r="H185" s="203"/>
      <c r="I185" s="265" t="s">
        <v>420</v>
      </c>
      <c r="J185" s="191">
        <v>1</v>
      </c>
      <c r="K185" s="289"/>
      <c r="L185" s="257">
        <f>+J185*G185</f>
        <v>0</v>
      </c>
      <c r="M185" s="239"/>
    </row>
    <row r="186" spans="2:15">
      <c r="B186" s="170"/>
      <c r="C186" s="171"/>
      <c r="D186" s="318"/>
      <c r="F186" s="286"/>
      <c r="G186" s="203"/>
      <c r="H186" s="203"/>
      <c r="I186" s="265"/>
      <c r="J186" s="191"/>
      <c r="K186" s="289"/>
      <c r="L186" s="257"/>
      <c r="M186" s="239"/>
    </row>
    <row r="187" spans="2:15">
      <c r="B187" s="170">
        <f>+B185+1</f>
        <v>111</v>
      </c>
      <c r="C187" s="171"/>
      <c r="D187" s="318" t="str">
        <f>"(Gains) / Losses on Sales of Plant Held for Future Use (Worksheet N, ln "&amp;'WS N - Sale of Plant Held'!A33&amp;", Cols. ("&amp;'WS N - Sale of Plant Held'!O12&amp;" &amp; "&amp;'WS N - Sale of Plant Held'!S12&amp;")"</f>
        <v>(Gains) / Losses on Sales of Plant Held for Future Use (Worksheet N, ln 4, Cols. ((F) &amp; (H))</v>
      </c>
      <c r="E187" s="160"/>
      <c r="F187" s="235"/>
      <c r="G187" s="203">
        <f>+'WS N - Sale of Plant Held'!O33</f>
        <v>0</v>
      </c>
      <c r="H187" s="203"/>
      <c r="I187" s="319"/>
      <c r="J187" s="191"/>
      <c r="K187" s="238"/>
      <c r="L187" s="203">
        <f>'WS N - Sale of Plant Held'!S33</f>
        <v>0</v>
      </c>
      <c r="M187" s="237"/>
    </row>
    <row r="188" spans="2:15">
      <c r="B188" s="170"/>
      <c r="C188" s="171"/>
      <c r="D188" s="318"/>
      <c r="E188" s="160"/>
      <c r="F188" s="235"/>
      <c r="G188" s="203"/>
      <c r="H188" s="203"/>
      <c r="I188" s="319"/>
      <c r="J188" s="191"/>
      <c r="K188" s="238"/>
      <c r="L188" s="203"/>
      <c r="M188" s="237"/>
    </row>
    <row r="189" spans="2:15">
      <c r="B189" s="170">
        <f>+B187+1</f>
        <v>112</v>
      </c>
      <c r="C189" s="171"/>
      <c r="D189" s="318" t="str">
        <f>" Tax Impact on Net Loss / (Gain) on Sales of Plant Held for Future Use (ln "&amp;B187&amp;" * ln"&amp;B170&amp;")"</f>
        <v xml:space="preserve"> Tax Impact on Net Loss / (Gain) on Sales of Plant Held for Future Use (ln 111 * ln97)</v>
      </c>
      <c r="E189" s="160"/>
      <c r="F189" s="235"/>
      <c r="G189" s="203">
        <f>-+G170*G187</f>
        <v>0</v>
      </c>
      <c r="H189" s="203"/>
      <c r="I189" s="319"/>
      <c r="J189" s="191"/>
      <c r="K189" s="238"/>
      <c r="L189" s="203">
        <f>L187*-G170</f>
        <v>0</v>
      </c>
      <c r="M189" s="237"/>
    </row>
    <row r="190" spans="2:15" ht="15.75" thickBot="1">
      <c r="B190" s="170"/>
      <c r="C190" s="171"/>
      <c r="D190" s="241"/>
      <c r="G190" s="266"/>
      <c r="H190" s="320"/>
      <c r="I190" s="213"/>
      <c r="J190" s="213"/>
      <c r="K190" s="257"/>
      <c r="L190" s="266"/>
      <c r="M190" s="168"/>
    </row>
    <row r="191" spans="2:15" ht="15.75" thickBot="1">
      <c r="B191" s="170">
        <f>+B189+1</f>
        <v>113</v>
      </c>
      <c r="C191" s="171"/>
      <c r="D191" s="155" t="s">
        <v>40</v>
      </c>
      <c r="G191" s="321">
        <f>+G185+G183+G181+G166+G157+G151+G187+G189</f>
        <v>20801122.493729133</v>
      </c>
      <c r="L191" s="321">
        <f>+L185+L183+L181+L166+L157+L151+L187+L189</f>
        <v>20966885.169530723</v>
      </c>
      <c r="M191" s="168"/>
    </row>
    <row r="192" spans="2:15" ht="15.75" thickTop="1">
      <c r="B192" s="170"/>
      <c r="C192" s="171"/>
      <c r="D192" s="162" t="str">
        <f>"    (sum lns "&amp;B151&amp;", "&amp;B157&amp;", "&amp;B166&amp;", "&amp;B181&amp;", "&amp;B183&amp;", "&amp;B185&amp;", "&amp;B187&amp;", "&amp;B189&amp;")"</f>
        <v xml:space="preserve">    (sum lns 81, 86, 94, 108, 109, 110, 111, 112)</v>
      </c>
      <c r="F192" s="322"/>
      <c r="M192" s="168"/>
    </row>
    <row r="193" spans="2:16">
      <c r="B193" s="170"/>
      <c r="C193" s="171"/>
      <c r="F193" s="322"/>
      <c r="M193" s="168"/>
    </row>
    <row r="194" spans="2:16">
      <c r="B194" s="170"/>
      <c r="C194" s="171"/>
      <c r="D194" s="162"/>
      <c r="F194" s="271" t="str">
        <f>F115</f>
        <v>AEPTCo subsidiaries in PJM</v>
      </c>
      <c r="M194" s="270"/>
    </row>
    <row r="195" spans="2:16">
      <c r="B195" s="170"/>
      <c r="C195" s="171"/>
      <c r="D195" s="162"/>
      <c r="F195" s="271" t="str">
        <f>F116</f>
        <v>Transmission Cost of Service Formula Rate</v>
      </c>
      <c r="M195" s="270"/>
    </row>
    <row r="196" spans="2:16">
      <c r="B196" s="155"/>
      <c r="C196" s="171"/>
      <c r="F196" s="271" t="str">
        <f>F117</f>
        <v>Utilizing  Actual/Projected FERC Form 1 Data</v>
      </c>
      <c r="M196" s="219"/>
    </row>
    <row r="197" spans="2:16">
      <c r="B197" s="170"/>
      <c r="C197" s="171"/>
      <c r="E197" s="271"/>
      <c r="F197" s="271"/>
      <c r="G197" s="271"/>
      <c r="H197" s="271"/>
      <c r="I197" s="271"/>
      <c r="J197" s="271"/>
      <c r="K197" s="271"/>
      <c r="M197" s="168"/>
    </row>
    <row r="198" spans="2:16">
      <c r="B198" s="170"/>
      <c r="C198" s="171"/>
      <c r="E198" s="162"/>
      <c r="F198" s="271" t="str">
        <f>F119</f>
        <v>AEP Appalachian Transmission Company</v>
      </c>
      <c r="G198" s="162"/>
      <c r="H198" s="162"/>
      <c r="I198" s="162"/>
      <c r="J198" s="162"/>
      <c r="K198" s="162"/>
      <c r="L198" s="162"/>
      <c r="M198" s="162"/>
    </row>
    <row r="199" spans="2:16">
      <c r="B199" s="170"/>
      <c r="C199" s="171"/>
      <c r="E199" s="162"/>
      <c r="F199" s="271"/>
      <c r="G199" s="162"/>
      <c r="H199" s="162"/>
      <c r="I199" s="162"/>
      <c r="J199" s="162"/>
      <c r="K199" s="162"/>
      <c r="L199" s="162"/>
      <c r="M199" s="162"/>
    </row>
    <row r="200" spans="2:16" ht="15.75">
      <c r="B200" s="170"/>
      <c r="C200" s="171"/>
      <c r="F200" s="274" t="s">
        <v>364</v>
      </c>
      <c r="H200" s="165"/>
      <c r="I200" s="165"/>
      <c r="J200" s="165"/>
      <c r="K200" s="165"/>
      <c r="L200" s="165"/>
      <c r="M200" s="168"/>
    </row>
    <row r="201" spans="2:16" ht="15.75">
      <c r="B201" s="170"/>
      <c r="C201" s="171"/>
      <c r="D201" s="323"/>
      <c r="E201" s="165"/>
      <c r="F201" s="165"/>
      <c r="G201" s="165"/>
      <c r="H201" s="165"/>
      <c r="I201" s="165"/>
      <c r="J201" s="165"/>
      <c r="K201" s="165"/>
      <c r="L201" s="165"/>
      <c r="M201" s="168"/>
    </row>
    <row r="202" spans="2:16" ht="15.75">
      <c r="B202" s="170" t="s">
        <v>408</v>
      </c>
      <c r="C202" s="171"/>
      <c r="D202" s="323"/>
      <c r="E202" s="165"/>
      <c r="F202" s="165"/>
      <c r="G202" s="165"/>
      <c r="H202" s="165"/>
      <c r="I202" s="165"/>
      <c r="J202" s="165"/>
      <c r="K202" s="165"/>
      <c r="L202" s="165"/>
      <c r="M202" s="168"/>
      <c r="N202" s="160"/>
      <c r="O202" s="160"/>
    </row>
    <row r="203" spans="2:16" ht="15.75" thickBot="1">
      <c r="B203" s="177" t="s">
        <v>409</v>
      </c>
      <c r="C203" s="178"/>
      <c r="D203" s="205" t="s">
        <v>502</v>
      </c>
      <c r="E203" s="181"/>
      <c r="F203" s="181"/>
      <c r="G203" s="181"/>
      <c r="H203" s="181"/>
      <c r="I203" s="181"/>
      <c r="J203" s="181"/>
      <c r="K203" s="160"/>
      <c r="M203" s="168"/>
      <c r="N203" s="160"/>
      <c r="O203" s="160"/>
      <c r="P203" s="173"/>
    </row>
    <row r="204" spans="2:16">
      <c r="B204" s="170">
        <f>+B191+1</f>
        <v>114</v>
      </c>
      <c r="C204" s="171"/>
      <c r="D204" s="181" t="s">
        <v>456</v>
      </c>
      <c r="E204" s="324" t="str">
        <f>"(ln "&amp;B63&amp;")"</f>
        <v>(ln 19)</v>
      </c>
      <c r="F204" s="325"/>
      <c r="H204" s="326"/>
      <c r="I204" s="326"/>
      <c r="J204" s="326"/>
      <c r="K204" s="326"/>
      <c r="L204" s="189">
        <f>+G63</f>
        <v>150942714.51016599</v>
      </c>
      <c r="M204" s="168"/>
      <c r="N204" s="160"/>
      <c r="O204" s="160"/>
      <c r="P204" s="173"/>
    </row>
    <row r="205" spans="2:16">
      <c r="B205" s="170">
        <f>+B204+1</f>
        <v>115</v>
      </c>
      <c r="C205" s="171"/>
      <c r="D205" s="181" t="str">
        <f>"  Less transmission plant excluded from PJM Tariff  (Worksheet A, ln "&amp;'WS A - Rate Base Support'!A62&amp;"."&amp;'WS A - Rate Base Support'!E47&amp;") (Note P)"</f>
        <v xml:space="preserve">  Less transmission plant excluded from PJM Tariff  (Worksheet A, ln 42.(d)) (Note P)</v>
      </c>
      <c r="E205" s="327"/>
      <c r="F205" s="327"/>
      <c r="G205" s="328"/>
      <c r="H205" s="327"/>
      <c r="I205" s="327"/>
      <c r="J205" s="327"/>
      <c r="K205" s="327"/>
      <c r="L205" s="143">
        <f>'WS A - Rate Base Support'!E62</f>
        <v>0</v>
      </c>
      <c r="M205" s="168"/>
      <c r="P205" s="173"/>
    </row>
    <row r="206" spans="2:16" ht="36" customHeight="1" thickBot="1">
      <c r="B206" s="170">
        <f>+B205+1</f>
        <v>116</v>
      </c>
      <c r="C206" s="171"/>
      <c r="D206" s="325" t="str">
        <f>"  Less transmission plant included in OATT Ancillary Services (Worksheet A, ln "&amp;'WS A - Rate Base Support'!A62&amp;", Col. "&amp;'WS A - Rate Base Support'!C47&amp;")  (Note Q)"</f>
        <v xml:space="preserve">  Less transmission plant included in OATT Ancillary Services (Worksheet A, ln 42, Col. (b))  (Note Q)</v>
      </c>
      <c r="E206" s="325"/>
      <c r="F206" s="325"/>
      <c r="G206" s="231"/>
      <c r="H206" s="326"/>
      <c r="I206" s="326"/>
      <c r="J206" s="231"/>
      <c r="K206" s="326"/>
      <c r="L206" s="266">
        <f>'WS A - Rate Base Support'!C62</f>
        <v>0</v>
      </c>
      <c r="M206" s="168"/>
      <c r="P206" s="173"/>
    </row>
    <row r="207" spans="2:16">
      <c r="B207" s="170">
        <f>+B206+1</f>
        <v>117</v>
      </c>
      <c r="C207" s="171"/>
      <c r="D207" s="181" t="s">
        <v>503</v>
      </c>
      <c r="E207" s="329" t="str">
        <f>"(ln "&amp;B204&amp;" - ln "&amp;B205&amp;" - ln "&amp;B206&amp;")"</f>
        <v>(ln 114 - ln 115 - ln 116)</v>
      </c>
      <c r="F207" s="325"/>
      <c r="H207" s="326"/>
      <c r="I207" s="326"/>
      <c r="J207" s="231"/>
      <c r="K207" s="326"/>
      <c r="L207" s="189">
        <f>L204-L205-L206</f>
        <v>150942714.51016599</v>
      </c>
      <c r="M207" s="168"/>
      <c r="P207" s="173"/>
    </row>
    <row r="208" spans="2:16" ht="9" customHeight="1">
      <c r="B208" s="170"/>
      <c r="C208" s="171"/>
      <c r="D208" s="160"/>
      <c r="E208" s="325"/>
      <c r="F208" s="325"/>
      <c r="G208" s="231"/>
      <c r="H208" s="326"/>
      <c r="I208" s="326"/>
      <c r="J208" s="231"/>
      <c r="K208" s="326"/>
      <c r="L208" s="327"/>
      <c r="M208" s="168"/>
      <c r="P208" s="173"/>
    </row>
    <row r="209" spans="2:24" ht="15.75" customHeight="1">
      <c r="B209" s="170">
        <f>+B207+1</f>
        <v>118</v>
      </c>
      <c r="C209" s="171"/>
      <c r="D209" s="181" t="s">
        <v>504</v>
      </c>
      <c r="E209" s="330" t="str">
        <f>"(ln "&amp;B207&amp;" / ln "&amp;B204&amp;")"</f>
        <v>(ln 117 / ln 114)</v>
      </c>
      <c r="F209" s="331"/>
      <c r="H209" s="332"/>
      <c r="I209" s="333"/>
      <c r="J209" s="333"/>
      <c r="K209" s="334" t="s">
        <v>433</v>
      </c>
      <c r="L209" s="335">
        <f>IF(L204=0,1,L207/L204)</f>
        <v>1</v>
      </c>
      <c r="M209" s="168"/>
      <c r="P209" s="173"/>
    </row>
    <row r="210" spans="2:24" ht="15.75">
      <c r="B210" s="170"/>
      <c r="C210" s="171"/>
      <c r="D210" s="336"/>
      <c r="E210" s="181"/>
      <c r="F210" s="181"/>
      <c r="G210" s="337"/>
      <c r="H210" s="181"/>
      <c r="I210" s="194"/>
      <c r="J210" s="181"/>
      <c r="K210" s="181"/>
      <c r="L210" s="165"/>
      <c r="M210" s="168"/>
    </row>
    <row r="211" spans="2:24" ht="45">
      <c r="B211" s="170">
        <f>B209+1</f>
        <v>119</v>
      </c>
      <c r="C211" s="194"/>
      <c r="D211" s="205" t="s">
        <v>365</v>
      </c>
      <c r="E211" s="190" t="s">
        <v>137</v>
      </c>
      <c r="F211" s="190" t="s">
        <v>474</v>
      </c>
      <c r="G211" s="338" t="s">
        <v>496</v>
      </c>
      <c r="H211" s="272" t="s">
        <v>410</v>
      </c>
      <c r="I211" s="197"/>
      <c r="J211" s="168"/>
      <c r="K211" s="168"/>
      <c r="L211" s="168"/>
      <c r="M211" s="168"/>
    </row>
    <row r="212" spans="2:24">
      <c r="B212" s="170">
        <f t="shared" ref="B212:B217" si="8">+B211+1</f>
        <v>120</v>
      </c>
      <c r="C212" s="194"/>
      <c r="D212" s="232" t="s">
        <v>312</v>
      </c>
      <c r="E212" s="186"/>
      <c r="F212" s="186"/>
      <c r="G212" s="203"/>
      <c r="H212" s="203"/>
      <c r="I212" s="190"/>
      <c r="J212" s="191"/>
      <c r="K212" s="186"/>
      <c r="L212" s="203"/>
      <c r="M212" s="168"/>
    </row>
    <row r="213" spans="2:24">
      <c r="B213" s="170">
        <f t="shared" si="8"/>
        <v>121</v>
      </c>
      <c r="C213" s="194"/>
      <c r="D213" s="240" t="s">
        <v>419</v>
      </c>
      <c r="E213" s="186" t="s">
        <v>341</v>
      </c>
      <c r="F213" s="142">
        <v>0</v>
      </c>
      <c r="G213" s="142">
        <v>319135.769924219</v>
      </c>
      <c r="H213" s="339">
        <f>+F213+G213</f>
        <v>319135.769924219</v>
      </c>
      <c r="I213" s="194" t="s">
        <v>412</v>
      </c>
      <c r="J213" s="191">
        <f>L209</f>
        <v>1</v>
      </c>
      <c r="K213" s="340"/>
      <c r="L213" s="257">
        <f>(F213+G213)*J213</f>
        <v>319135.769924219</v>
      </c>
      <c r="M213" s="168"/>
    </row>
    <row r="214" spans="2:24">
      <c r="B214" s="170">
        <f t="shared" si="8"/>
        <v>122</v>
      </c>
      <c r="C214" s="194"/>
      <c r="D214" s="240" t="s">
        <v>542</v>
      </c>
      <c r="E214" s="168" t="s">
        <v>254</v>
      </c>
      <c r="F214" s="142">
        <v>0</v>
      </c>
      <c r="G214" s="142">
        <v>0</v>
      </c>
      <c r="H214" s="257">
        <f>+F214+G214</f>
        <v>0</v>
      </c>
      <c r="I214" s="197" t="s">
        <v>418</v>
      </c>
      <c r="J214" s="191">
        <v>0</v>
      </c>
      <c r="K214" s="340"/>
      <c r="L214" s="257">
        <f>(F214+G214)*J214</f>
        <v>0</v>
      </c>
      <c r="M214" s="168"/>
    </row>
    <row r="215" spans="2:24">
      <c r="B215" s="170">
        <f t="shared" si="8"/>
        <v>123</v>
      </c>
      <c r="C215" s="194"/>
      <c r="D215" s="232" t="s">
        <v>312</v>
      </c>
      <c r="E215" s="186"/>
      <c r="F215" s="186"/>
      <c r="G215" s="186"/>
      <c r="H215" s="203"/>
      <c r="I215" s="190"/>
      <c r="J215" s="191"/>
      <c r="K215" s="186"/>
      <c r="L215" s="203"/>
      <c r="M215" s="168"/>
    </row>
    <row r="216" spans="2:24" ht="15.75" thickBot="1">
      <c r="B216" s="170">
        <f t="shared" si="8"/>
        <v>124</v>
      </c>
      <c r="C216" s="194"/>
      <c r="D216" s="240" t="s">
        <v>483</v>
      </c>
      <c r="E216" s="168" t="s">
        <v>206</v>
      </c>
      <c r="F216" s="1391">
        <v>0</v>
      </c>
      <c r="G216" s="1391">
        <v>0</v>
      </c>
      <c r="H216" s="266">
        <f>+F216+G216</f>
        <v>0</v>
      </c>
      <c r="I216" s="197" t="s">
        <v>418</v>
      </c>
      <c r="J216" s="191">
        <v>0</v>
      </c>
      <c r="K216" s="340"/>
      <c r="L216" s="266">
        <f>(F216+G216)*J216</f>
        <v>0</v>
      </c>
      <c r="M216" s="168"/>
    </row>
    <row r="217" spans="2:24" ht="15.75">
      <c r="B217" s="170">
        <f t="shared" si="8"/>
        <v>125</v>
      </c>
      <c r="C217" s="194"/>
      <c r="D217" s="240" t="s">
        <v>410</v>
      </c>
      <c r="E217" s="186" t="str">
        <f>"(sum lns "&amp;B213&amp;", "&amp;B214&amp;", &amp; "&amp;B216&amp;")"</f>
        <v>(sum lns 121, 122, &amp; 124)</v>
      </c>
      <c r="F217" s="257">
        <f>SUM(F212:F216)</f>
        <v>0</v>
      </c>
      <c r="G217" s="186">
        <f>SUM(G212:G216)</f>
        <v>319135.769924219</v>
      </c>
      <c r="H217" s="186">
        <f>SUM(H212:H216)</f>
        <v>319135.769924219</v>
      </c>
      <c r="I217" s="197"/>
      <c r="J217" s="168"/>
      <c r="K217" s="168"/>
      <c r="L217" s="257">
        <f>SUM(L212:L216)</f>
        <v>319135.769924219</v>
      </c>
      <c r="M217" s="223"/>
    </row>
    <row r="218" spans="2:24">
      <c r="B218" s="170"/>
      <c r="C218" s="194"/>
      <c r="D218" s="240" t="s">
        <v>406</v>
      </c>
      <c r="E218" s="186" t="s">
        <v>406</v>
      </c>
      <c r="F218" s="186"/>
      <c r="G218" s="160"/>
      <c r="H218" s="186"/>
      <c r="I218" s="271"/>
    </row>
    <row r="219" spans="2:24" ht="15.75">
      <c r="B219" s="170">
        <f>B217+1</f>
        <v>126</v>
      </c>
      <c r="C219" s="171"/>
      <c r="D219" s="241" t="s">
        <v>366</v>
      </c>
      <c r="E219" s="186"/>
      <c r="F219" s="186"/>
      <c r="G219" s="186"/>
      <c r="H219" s="186"/>
      <c r="I219" s="271"/>
      <c r="K219" s="341" t="s">
        <v>367</v>
      </c>
      <c r="L219" s="342">
        <f>L217/(F217+G217)</f>
        <v>1</v>
      </c>
    </row>
    <row r="220" spans="2:24" ht="15.75">
      <c r="B220" s="170"/>
      <c r="C220" s="171"/>
      <c r="D220" s="241"/>
      <c r="E220" s="186"/>
      <c r="F220" s="186"/>
      <c r="G220" s="186"/>
      <c r="H220" s="186"/>
      <c r="I220" s="271"/>
      <c r="K220" s="341"/>
      <c r="L220" s="342"/>
    </row>
    <row r="221" spans="2:24" ht="15.75">
      <c r="B221" s="170"/>
      <c r="C221" s="171"/>
      <c r="D221" s="343" t="s">
        <v>149</v>
      </c>
      <c r="E221" s="186"/>
      <c r="F221" s="186"/>
      <c r="G221" s="186"/>
      <c r="H221" s="186"/>
      <c r="I221" s="197"/>
      <c r="J221" s="168"/>
      <c r="K221" s="168"/>
      <c r="L221" s="168"/>
      <c r="M221" s="168"/>
    </row>
    <row r="222" spans="2:24" ht="15.75" thickBot="1">
      <c r="B222" s="170">
        <f>B219+1</f>
        <v>127</v>
      </c>
      <c r="C222" s="171"/>
      <c r="D222" s="240" t="s">
        <v>480</v>
      </c>
      <c r="E222" s="186"/>
      <c r="F222" s="186"/>
      <c r="G222" s="186"/>
      <c r="H222" s="186"/>
      <c r="I222" s="186"/>
      <c r="J222" s="186"/>
      <c r="K222" s="186"/>
      <c r="L222" s="344" t="s">
        <v>434</v>
      </c>
      <c r="M222" s="168"/>
    </row>
    <row r="223" spans="2:24" ht="15.75">
      <c r="B223" s="170">
        <f>B222+1</f>
        <v>128</v>
      </c>
      <c r="C223" s="171"/>
      <c r="D223" s="186" t="s">
        <v>500</v>
      </c>
      <c r="E223" s="160" t="str">
        <f>"(Worksheet M, ln."&amp;'WS M - Cost of Capital'!A55&amp;", col."&amp;'WS M - Cost of Capital'!E47&amp;")"</f>
        <v>(Worksheet M, ln.36, col.(d))</v>
      </c>
      <c r="F223" s="186"/>
      <c r="G223" s="186"/>
      <c r="H223" s="186"/>
      <c r="I223" s="186"/>
      <c r="J223" s="277" t="s">
        <v>406</v>
      </c>
      <c r="K223" s="186"/>
      <c r="L223" s="345">
        <f>'WS M - Cost of Capital'!E55</f>
        <v>2258900</v>
      </c>
      <c r="M223" s="186"/>
      <c r="N223" s="160"/>
      <c r="O223" s="160"/>
      <c r="P223" s="160"/>
      <c r="Q223" s="160"/>
      <c r="R223" s="160"/>
      <c r="S223" s="160"/>
      <c r="T223" s="160"/>
      <c r="U223" s="160"/>
      <c r="V223" s="160"/>
      <c r="W223" s="160"/>
      <c r="X223" s="160"/>
    </row>
    <row r="224" spans="2:24">
      <c r="B224" s="170">
        <f t="shared" ref="B224:B230" si="9">B223+1</f>
        <v>129</v>
      </c>
      <c r="C224" s="171"/>
      <c r="D224" s="186" t="s">
        <v>501</v>
      </c>
      <c r="E224" s="160" t="str">
        <f>"(Worksheet M, ln. "&amp;'WS M - Cost of Capital'!A75&amp;", col."&amp;'WS M - Cost of Capital'!E47&amp;")"</f>
        <v>(Worksheet M, ln. 45, col.(d))</v>
      </c>
      <c r="F224" s="186"/>
      <c r="G224" s="186"/>
      <c r="H224" s="186"/>
      <c r="I224" s="186"/>
      <c r="J224" s="186"/>
      <c r="K224" s="186"/>
      <c r="L224" s="203">
        <f>'WS M - Cost of Capital'!E75</f>
        <v>0</v>
      </c>
      <c r="M224" s="186"/>
      <c r="N224" s="160"/>
      <c r="O224" s="160"/>
      <c r="P224" s="160"/>
      <c r="Q224" s="160"/>
      <c r="R224" s="160"/>
      <c r="S224" s="160"/>
      <c r="T224" s="160"/>
      <c r="U224" s="160"/>
      <c r="V224" s="160"/>
      <c r="W224" s="160"/>
      <c r="X224" s="160"/>
    </row>
    <row r="225" spans="2:13">
      <c r="B225" s="170">
        <f t="shared" si="9"/>
        <v>130</v>
      </c>
      <c r="C225" s="171"/>
      <c r="D225" s="346" t="s">
        <v>27</v>
      </c>
      <c r="E225" s="186"/>
      <c r="F225" s="186"/>
      <c r="G225" s="186"/>
      <c r="H225" s="348"/>
      <c r="I225" s="186"/>
      <c r="J225" s="186"/>
      <c r="K225" s="186"/>
      <c r="L225" s="203"/>
      <c r="M225" s="168"/>
    </row>
    <row r="226" spans="2:13">
      <c r="B226" s="170">
        <f t="shared" si="9"/>
        <v>131</v>
      </c>
      <c r="C226" s="171"/>
      <c r="D226" s="186" t="s">
        <v>28</v>
      </c>
      <c r="E226" s="160" t="str">
        <f>"(Worksheet M, ln. "&amp;'WS M - Cost of Capital'!A23&amp;", col."&amp;'WS M - Cost of Capital'!C8&amp;")"</f>
        <v>(Worksheet M, ln. 14, col.(b))</v>
      </c>
      <c r="F226" s="186"/>
      <c r="G226" s="181"/>
      <c r="H226" s="348"/>
      <c r="I226" s="186"/>
      <c r="J226" s="186"/>
      <c r="K226" s="186"/>
      <c r="L226" s="203">
        <f>'WS M - Cost of Capital'!C23</f>
        <v>62019842.54966636</v>
      </c>
      <c r="M226" s="168"/>
    </row>
    <row r="227" spans="2:13">
      <c r="B227" s="170">
        <f t="shared" si="9"/>
        <v>132</v>
      </c>
      <c r="C227" s="171"/>
      <c r="D227" s="186" t="s">
        <v>163</v>
      </c>
      <c r="E227" s="160" t="str">
        <f>"(Worksheet M, ln. "&amp;'WS M - Cost of Capital'!A23&amp;", col."&amp;'WS M - Cost of Capital'!D8&amp;")"</f>
        <v>(Worksheet M, ln. 14, col.(c))</v>
      </c>
      <c r="F227" s="186"/>
      <c r="G227" s="186"/>
      <c r="H227" s="348"/>
      <c r="I227" s="186"/>
      <c r="J227" s="186"/>
      <c r="K227" s="186"/>
      <c r="L227" s="203">
        <f>'WS M - Cost of Capital'!D23</f>
        <v>0</v>
      </c>
      <c r="M227" s="168"/>
    </row>
    <row r="228" spans="2:13">
      <c r="B228" s="170">
        <f t="shared" si="9"/>
        <v>133</v>
      </c>
      <c r="C228" s="171"/>
      <c r="D228" s="186" t="s">
        <v>156</v>
      </c>
      <c r="E228" s="160" t="str">
        <f>"(Worksheet M, ln. "&amp;'WS M - Cost of Capital'!A23&amp;", col."&amp;'WS M - Cost of Capital'!E8&amp;")"</f>
        <v>(Worksheet M, ln. 14, col.(d))</v>
      </c>
      <c r="F228" s="186"/>
      <c r="G228" s="186"/>
      <c r="H228" s="348"/>
      <c r="I228" s="186"/>
      <c r="J228" s="186"/>
      <c r="K228" s="186"/>
      <c r="L228" s="203">
        <f>'WS M - Cost of Capital'!E23</f>
        <v>0</v>
      </c>
      <c r="M228" s="168"/>
    </row>
    <row r="229" spans="2:13">
      <c r="B229" s="170">
        <f t="shared" si="9"/>
        <v>134</v>
      </c>
      <c r="C229" s="171"/>
      <c r="D229" s="186" t="s">
        <v>162</v>
      </c>
      <c r="E229" s="160" t="str">
        <f>"(Worksheet M, ln. "&amp;'WS M - Cost of Capital'!A23&amp;", col."&amp;'WS M - Cost of Capital'!F8&amp;")"</f>
        <v>(Worksheet M, ln. 14, col.(e))</v>
      </c>
      <c r="F229" s="186"/>
      <c r="G229" s="186"/>
      <c r="H229" s="348"/>
      <c r="I229" s="186"/>
      <c r="J229" s="186"/>
      <c r="K229" s="186"/>
      <c r="L229" s="1237">
        <f>'WS M - Cost of Capital'!F23</f>
        <v>0</v>
      </c>
      <c r="M229" s="168"/>
    </row>
    <row r="230" spans="2:13">
      <c r="B230" s="170">
        <f t="shared" si="9"/>
        <v>135</v>
      </c>
      <c r="C230" s="171"/>
      <c r="D230" s="155" t="s">
        <v>29</v>
      </c>
      <c r="E230" s="347" t="str">
        <f>"(ln "&amp;B226&amp;" - ln "&amp;B227&amp;" - ln "&amp;B228&amp;" - ln "&amp;B229&amp;")"</f>
        <v>(ln 131 - ln 132 - ln 133 - ln 134)</v>
      </c>
      <c r="F230" s="349"/>
      <c r="G230" s="160"/>
      <c r="H230" s="181"/>
      <c r="I230" s="181"/>
      <c r="J230" s="181"/>
      <c r="K230" s="181"/>
      <c r="L230" s="203">
        <f>L226-L227-L228-L229</f>
        <v>62019842.54966636</v>
      </c>
      <c r="M230" s="168"/>
    </row>
    <row r="231" spans="2:13" ht="15.75">
      <c r="B231" s="170"/>
      <c r="C231" s="171"/>
      <c r="D231" s="240"/>
      <c r="E231" s="186"/>
      <c r="F231" s="186"/>
      <c r="G231" s="1471" t="s">
        <v>264</v>
      </c>
      <c r="H231" s="1471"/>
      <c r="I231" s="186"/>
      <c r="J231" s="271" t="s">
        <v>435</v>
      </c>
      <c r="K231" s="186"/>
      <c r="L231" s="186"/>
      <c r="M231" s="168"/>
    </row>
    <row r="232" spans="2:13" ht="15.75" thickBot="1">
      <c r="B232" s="193"/>
      <c r="C232" s="194"/>
      <c r="D232" s="240"/>
      <c r="E232" s="160"/>
      <c r="F232" s="186"/>
      <c r="G232" s="350" t="s">
        <v>434</v>
      </c>
      <c r="H232" s="350" t="s">
        <v>808</v>
      </c>
      <c r="I232" s="344" t="s">
        <v>807</v>
      </c>
      <c r="J232" s="351" t="s">
        <v>544</v>
      </c>
      <c r="K232" s="186"/>
      <c r="L232" s="350" t="s">
        <v>437</v>
      </c>
      <c r="M232" s="168"/>
    </row>
    <row r="233" spans="2:13" ht="15.75">
      <c r="B233" s="193">
        <f>B230+1</f>
        <v>136</v>
      </c>
      <c r="C233" s="194"/>
      <c r="D233" s="240" t="str">
        <f>"  Long Term Debt  (Note S) Worksheet M, ln "&amp;'WS M - Cost of Capital'!A42&amp;", col. (g), ln "&amp;'WS M - Cost of Capital'!A57&amp;", col. "&amp;'WS M - Cost of Capital'!E47&amp;")"</f>
        <v xml:space="preserve">  Long Term Debt  (Note S) Worksheet M, ln 28, col. (g), ln 37, col. (d))</v>
      </c>
      <c r="E233" s="160"/>
      <c r="F233" s="277" t="s">
        <v>406</v>
      </c>
      <c r="G233" s="203">
        <f>'WS M - Cost of Capital'!H42</f>
        <v>60600000</v>
      </c>
      <c r="H233" s="352">
        <f>IF($G$236=0,0,G233/$G$236)</f>
        <v>0.49421038830199421</v>
      </c>
      <c r="I233" s="1317">
        <f>IF(H235&gt;E238,1-I235,H233)</f>
        <v>0.49421038830199421</v>
      </c>
      <c r="J233" s="352">
        <f>IF(G233=0,0,L223/G233)</f>
        <v>3.7275577557755776E-2</v>
      </c>
      <c r="K233" s="160"/>
      <c r="L233" s="353">
        <f>I233*J233</f>
        <v>1.8421977658999583E-2</v>
      </c>
      <c r="M233" s="168"/>
    </row>
    <row r="234" spans="2:13" ht="15.75" thickBot="1">
      <c r="B234" s="193">
        <f>B233+1</f>
        <v>137</v>
      </c>
      <c r="C234" s="194"/>
      <c r="D234" s="240" t="str">
        <f>"  Preferred Stock (ln "&amp;B227&amp;")"</f>
        <v xml:space="preserve">  Preferred Stock (ln 132)</v>
      </c>
      <c r="E234" s="160"/>
      <c r="F234" s="160"/>
      <c r="G234" s="203">
        <f>L227</f>
        <v>0</v>
      </c>
      <c r="H234" s="352">
        <f>IF($G$236=0,0,G234/$G$236)</f>
        <v>0</v>
      </c>
      <c r="I234" s="1317">
        <f>H234</f>
        <v>0</v>
      </c>
      <c r="J234" s="352">
        <f>IF(G234=0,0,L224/G234)</f>
        <v>0</v>
      </c>
      <c r="K234" s="160"/>
      <c r="L234" s="354">
        <f>I234*J234</f>
        <v>0</v>
      </c>
      <c r="M234" s="168"/>
    </row>
    <row r="235" spans="2:13" ht="15.75" thickBot="1">
      <c r="B235" s="193">
        <f>B234+1</f>
        <v>138</v>
      </c>
      <c r="C235" s="194"/>
      <c r="D235" s="240" t="str">
        <f>"  Common Stock (ln "&amp;B230&amp;")"</f>
        <v xml:space="preserve">  Common Stock (ln 135)</v>
      </c>
      <c r="E235" s="160"/>
      <c r="F235" s="160"/>
      <c r="G235" s="242">
        <f>L230</f>
        <v>62019842.54966636</v>
      </c>
      <c r="H235" s="1314">
        <f>IF($G$236=0,0,G235/$G$236)</f>
        <v>0.50578961169800585</v>
      </c>
      <c r="I235" s="1317">
        <f>IF(H235&gt;E238,E238,H235)</f>
        <v>0.50578961169800585</v>
      </c>
      <c r="J235" s="419">
        <v>0.10349999999999999</v>
      </c>
      <c r="K235" s="160"/>
      <c r="L235" s="355">
        <f>I235*J235</f>
        <v>5.2349224810743604E-2</v>
      </c>
      <c r="M235" s="168"/>
    </row>
    <row r="236" spans="2:13" ht="15.75">
      <c r="B236" s="193">
        <f>B235+1</f>
        <v>139</v>
      </c>
      <c r="C236" s="194"/>
      <c r="D236" s="240" t="str">
        <f>" Total (Sum lns "&amp;B233&amp;" to "&amp;B235&amp;")"</f>
        <v xml:space="preserve"> Total (Sum lns 136 to 138)</v>
      </c>
      <c r="E236" s="160"/>
      <c r="F236" s="160"/>
      <c r="G236" s="203">
        <f>SUM(G233:G235)</f>
        <v>122619842.54966636</v>
      </c>
      <c r="H236" s="210">
        <f>SUM(H233:H235)</f>
        <v>1</v>
      </c>
      <c r="I236" s="186"/>
      <c r="J236" s="356"/>
      <c r="K236" s="259" t="s">
        <v>354</v>
      </c>
      <c r="L236" s="357">
        <f>SUM(L233:L235)</f>
        <v>7.0771202469743194E-2</v>
      </c>
      <c r="M236" s="168"/>
    </row>
    <row r="237" spans="2:13" ht="15.75">
      <c r="B237" s="193"/>
      <c r="C237" s="194"/>
      <c r="D237" s="240"/>
      <c r="E237" s="160"/>
      <c r="F237" s="160"/>
      <c r="G237" s="203"/>
      <c r="H237" s="210"/>
      <c r="I237" s="186"/>
      <c r="J237" s="356"/>
      <c r="K237" s="259"/>
      <c r="L237" s="357"/>
      <c r="M237" s="168"/>
    </row>
    <row r="238" spans="2:13" ht="15.75">
      <c r="B238" s="193">
        <f>B236+1</f>
        <v>140</v>
      </c>
      <c r="C238" s="194"/>
      <c r="D238" s="240" t="s">
        <v>806</v>
      </c>
      <c r="E238" s="1317">
        <v>0.55000000000000004</v>
      </c>
      <c r="F238" s="160"/>
      <c r="G238" s="203"/>
      <c r="H238" s="210"/>
      <c r="I238" s="186"/>
      <c r="J238" s="356"/>
      <c r="K238" s="259"/>
      <c r="L238" s="357"/>
      <c r="M238" s="168"/>
    </row>
    <row r="239" spans="2:13">
      <c r="B239" s="170"/>
      <c r="C239" s="171"/>
      <c r="D239" s="241"/>
      <c r="E239" s="160"/>
      <c r="F239" s="186"/>
      <c r="G239" s="186"/>
      <c r="H239" s="186"/>
      <c r="I239" s="197"/>
      <c r="J239" s="168"/>
      <c r="K239" s="168"/>
      <c r="L239" s="168"/>
      <c r="M239" s="168"/>
    </row>
    <row r="240" spans="2:13" ht="15.75" hidden="1">
      <c r="B240" s="358"/>
      <c r="C240" s="359"/>
      <c r="D240" s="360" t="s">
        <v>215</v>
      </c>
      <c r="E240" s="361"/>
      <c r="F240" s="362"/>
      <c r="G240" s="363"/>
      <c r="H240" s="362"/>
      <c r="I240" s="362"/>
      <c r="J240" s="362"/>
      <c r="K240" s="364"/>
      <c r="L240" s="365"/>
      <c r="M240" s="168"/>
    </row>
    <row r="241" spans="2:21" ht="15.75" hidden="1" thickBot="1">
      <c r="B241" s="358">
        <f>B238+1</f>
        <v>141</v>
      </c>
      <c r="C241" s="359"/>
      <c r="D241" s="366" t="s">
        <v>480</v>
      </c>
      <c r="E241" s="362"/>
      <c r="F241" s="362"/>
      <c r="G241" s="362"/>
      <c r="H241" s="362"/>
      <c r="I241" s="362"/>
      <c r="J241" s="362"/>
      <c r="K241" s="362"/>
      <c r="L241" s="367" t="s">
        <v>434</v>
      </c>
      <c r="M241" s="168"/>
    </row>
    <row r="242" spans="2:21" hidden="1">
      <c r="B242" s="358">
        <f t="shared" ref="B242:B249" si="10">+B241+1</f>
        <v>142</v>
      </c>
      <c r="C242" s="359"/>
      <c r="D242" s="362" t="s">
        <v>500</v>
      </c>
      <c r="E242" s="363" t="str">
        <f>"(Worksheet Q, ln. "&amp;'WS Q Cap Structure'!A199&amp;")"</f>
        <v>(Worksheet Q, ln. 132)</v>
      </c>
      <c r="F242" s="362"/>
      <c r="G242" s="362"/>
      <c r="H242" s="362"/>
      <c r="I242" s="362"/>
      <c r="J242" s="362"/>
      <c r="K242" s="362"/>
      <c r="L242" s="368">
        <f>'WS Q Cap Structure'!J199</f>
        <v>0</v>
      </c>
      <c r="M242" s="168"/>
    </row>
    <row r="243" spans="2:21" hidden="1">
      <c r="B243" s="358">
        <f t="shared" si="10"/>
        <v>143</v>
      </c>
      <c r="C243" s="359"/>
      <c r="D243" s="362" t="s">
        <v>501</v>
      </c>
      <c r="E243" s="363" t="str">
        <f>"(Worksheet Q, ln. "&amp;'WS Q Cap Structure'!A203&amp;")"</f>
        <v>(Worksheet Q, ln. 134)</v>
      </c>
      <c r="F243" s="362"/>
      <c r="G243" s="362"/>
      <c r="H243" s="362"/>
      <c r="I243" s="362"/>
      <c r="J243" s="362"/>
      <c r="K243" s="362"/>
      <c r="L243" s="368">
        <f>'WS Q Cap Structure'!J203</f>
        <v>0</v>
      </c>
      <c r="M243" s="168"/>
    </row>
    <row r="244" spans="2:21" hidden="1">
      <c r="B244" s="358">
        <f t="shared" si="10"/>
        <v>144</v>
      </c>
      <c r="C244" s="359"/>
      <c r="D244" s="369" t="s">
        <v>27</v>
      </c>
      <c r="E244" s="362"/>
      <c r="F244" s="362"/>
      <c r="G244" s="362"/>
      <c r="H244" s="370"/>
      <c r="I244" s="362"/>
      <c r="J244" s="362"/>
      <c r="K244" s="362"/>
      <c r="L244" s="368"/>
      <c r="M244" s="168"/>
    </row>
    <row r="245" spans="2:21" hidden="1">
      <c r="B245" s="358">
        <f t="shared" si="10"/>
        <v>145</v>
      </c>
      <c r="C245" s="359"/>
      <c r="D245" s="362" t="s">
        <v>28</v>
      </c>
      <c r="E245" s="363" t="str">
        <f>"(Worksheet Q, ln. "&amp;'WS Q Cap Structure'!A206&amp;")"</f>
        <v>(Worksheet Q, ln. 135)</v>
      </c>
      <c r="F245" s="362"/>
      <c r="G245" s="371"/>
      <c r="H245" s="372"/>
      <c r="I245" s="362"/>
      <c r="J245" s="362"/>
      <c r="K245" s="362"/>
      <c r="L245" s="373" t="e">
        <f>'WS Q Cap Structure'!J206</f>
        <v>#DIV/0!</v>
      </c>
      <c r="M245" s="168"/>
    </row>
    <row r="246" spans="2:21" hidden="1">
      <c r="B246" s="358">
        <f t="shared" si="10"/>
        <v>146</v>
      </c>
      <c r="C246" s="359"/>
      <c r="D246" s="362" t="s">
        <v>163</v>
      </c>
      <c r="E246" s="363" t="str">
        <f>"(Worksheet Q, ln. "&amp;'WS Q Cap Structure'!A207&amp;")"</f>
        <v>(Worksheet Q, ln. 136)</v>
      </c>
      <c r="F246" s="362"/>
      <c r="G246" s="362"/>
      <c r="H246" s="372"/>
      <c r="I246" s="362"/>
      <c r="J246" s="362"/>
      <c r="K246" s="362"/>
      <c r="L246" s="373">
        <f>'WS Q Cap Structure'!J207</f>
        <v>0</v>
      </c>
      <c r="M246" s="168"/>
    </row>
    <row r="247" spans="2:21" hidden="1">
      <c r="B247" s="358">
        <f>+B246+1</f>
        <v>147</v>
      </c>
      <c r="C247" s="359"/>
      <c r="D247" s="362" t="s">
        <v>156</v>
      </c>
      <c r="E247" s="363" t="str">
        <f>"(Worksheet Q, ln. "&amp;'WS Q Cap Structure'!A208&amp;")"</f>
        <v>(Worksheet Q, ln. 137)</v>
      </c>
      <c r="F247" s="362"/>
      <c r="G247" s="362"/>
      <c r="H247" s="372"/>
      <c r="I247" s="362"/>
      <c r="J247" s="362"/>
      <c r="K247" s="362"/>
      <c r="L247" s="373" t="e">
        <f>'WS Q Cap Structure'!J208</f>
        <v>#DIV/0!</v>
      </c>
      <c r="M247" s="168"/>
    </row>
    <row r="248" spans="2:21" ht="15.75" hidden="1" thickBot="1">
      <c r="B248" s="358">
        <f t="shared" si="10"/>
        <v>148</v>
      </c>
      <c r="C248" s="359"/>
      <c r="D248" s="362" t="s">
        <v>162</v>
      </c>
      <c r="E248" s="363" t="str">
        <f>"(Worksheet Q, ln. "&amp;'WS Q Cap Structure'!A209&amp;")"</f>
        <v>(Worksheet Q, ln. 138)</v>
      </c>
      <c r="F248" s="362"/>
      <c r="G248" s="362"/>
      <c r="H248" s="372"/>
      <c r="I248" s="362"/>
      <c r="J248" s="374"/>
      <c r="K248" s="362"/>
      <c r="L248" s="375" t="e">
        <f>'WS Q Cap Structure'!J209</f>
        <v>#DIV/0!</v>
      </c>
      <c r="M248" s="168"/>
    </row>
    <row r="249" spans="2:21" hidden="1">
      <c r="B249" s="358">
        <f t="shared" si="10"/>
        <v>149</v>
      </c>
      <c r="C249" s="359"/>
      <c r="D249" s="363" t="s">
        <v>29</v>
      </c>
      <c r="E249" s="362" t="str">
        <f>"(ln "&amp;B245&amp;" - ln "&amp;B246&amp;" - ln "&amp;B247&amp;" - ln "&amp;B248&amp;")"</f>
        <v>(ln 145 - ln 146 - ln 147 - ln 148)</v>
      </c>
      <c r="F249" s="376"/>
      <c r="G249" s="363"/>
      <c r="H249" s="371"/>
      <c r="I249" s="371"/>
      <c r="J249" s="371"/>
      <c r="K249" s="371"/>
      <c r="L249" s="368" t="e">
        <f>+L245-L246-L247-L248</f>
        <v>#DIV/0!</v>
      </c>
      <c r="M249" s="168"/>
    </row>
    <row r="250" spans="2:21" ht="15.75" hidden="1">
      <c r="B250" s="358"/>
      <c r="C250" s="359"/>
      <c r="D250" s="366"/>
      <c r="E250" s="362"/>
      <c r="F250" s="362"/>
      <c r="G250" s="1470"/>
      <c r="H250" s="1470"/>
      <c r="I250" s="377"/>
      <c r="J250" s="363"/>
      <c r="K250" s="362"/>
      <c r="L250" s="362"/>
      <c r="M250" s="168"/>
    </row>
    <row r="251" spans="2:21" ht="15.75" hidden="1" thickBot="1">
      <c r="B251" s="358">
        <f>+B249+1</f>
        <v>150</v>
      </c>
      <c r="C251" s="359"/>
      <c r="D251" s="366"/>
      <c r="E251" s="363"/>
      <c r="F251" s="363"/>
      <c r="G251" s="378" t="s">
        <v>436</v>
      </c>
      <c r="H251" s="378" t="s">
        <v>434</v>
      </c>
      <c r="I251" s="377"/>
      <c r="J251" s="379" t="s">
        <v>435</v>
      </c>
      <c r="K251" s="362"/>
      <c r="L251" s="378" t="s">
        <v>437</v>
      </c>
      <c r="M251" s="168"/>
      <c r="N251" s="162"/>
      <c r="O251" s="162"/>
      <c r="P251" s="162"/>
      <c r="Q251" s="162"/>
      <c r="R251" s="162"/>
      <c r="S251" s="162"/>
      <c r="T251" s="162"/>
      <c r="U251" s="162"/>
    </row>
    <row r="252" spans="2:21" hidden="1">
      <c r="B252" s="358">
        <f>+B251+1</f>
        <v>151</v>
      </c>
      <c r="C252" s="359"/>
      <c r="D252" s="366" t="str">
        <f>"  Long Term Debt   (Worksheet Q, ln "&amp;'WS Q Cap Structure'!A213&amp;")"</f>
        <v xml:space="preserve">  Long Term Debt   (Worksheet Q, ln 140)</v>
      </c>
      <c r="E252" s="363"/>
      <c r="F252" s="363"/>
      <c r="G252" s="380" t="e">
        <f>'WS Q Cap Structure'!J218</f>
        <v>#DIV/0!</v>
      </c>
      <c r="H252" s="368" t="e">
        <f>$H$255*G252</f>
        <v>#DIV/0!</v>
      </c>
      <c r="I252" s="381"/>
      <c r="J252" s="374" t="e">
        <f>+L242/H252</f>
        <v>#DIV/0!</v>
      </c>
      <c r="K252" s="363"/>
      <c r="L252" s="382" t="e">
        <f>+G252*J252</f>
        <v>#DIV/0!</v>
      </c>
      <c r="M252" s="383"/>
      <c r="N252" s="162"/>
      <c r="O252" s="162"/>
      <c r="P252" s="162"/>
      <c r="Q252" s="162"/>
      <c r="R252" s="162"/>
      <c r="S252" s="162"/>
      <c r="T252" s="162"/>
      <c r="U252" s="162"/>
    </row>
    <row r="253" spans="2:21" hidden="1">
      <c r="B253" s="358">
        <f>+B252+1</f>
        <v>152</v>
      </c>
      <c r="C253" s="359"/>
      <c r="D253" s="366" t="str">
        <f>"  Preferred Stock (Worksheet Q, ln "&amp;'WS Q Cap Structure'!A214&amp;")"</f>
        <v xml:space="preserve">  Preferred Stock (Worksheet Q, ln 141)</v>
      </c>
      <c r="E253" s="363"/>
      <c r="F253" s="363"/>
      <c r="G253" s="380" t="e">
        <f>'WS Q Cap Structure'!J219</f>
        <v>#DIV/0!</v>
      </c>
      <c r="H253" s="368" t="e">
        <f>$H$255*G253</f>
        <v>#DIV/0!</v>
      </c>
      <c r="I253" s="381"/>
      <c r="J253" s="374">
        <f>IF(L243=0,0,+L243/H253)</f>
        <v>0</v>
      </c>
      <c r="K253" s="363"/>
      <c r="L253" s="384" t="e">
        <f>+G253*J253</f>
        <v>#DIV/0!</v>
      </c>
      <c r="M253" s="168"/>
    </row>
    <row r="254" spans="2:21" ht="15.75" hidden="1" thickBot="1">
      <c r="B254" s="358">
        <f>+B253+1</f>
        <v>153</v>
      </c>
      <c r="C254" s="359"/>
      <c r="D254" s="366" t="str">
        <f>"  Common Stock (Worksheet Q, ln "&amp;'WS Q Cap Structure'!A215&amp;")"</f>
        <v xml:space="preserve">  Common Stock (Worksheet Q, ln 142)</v>
      </c>
      <c r="E254" s="363"/>
      <c r="F254" s="363"/>
      <c r="G254" s="385" t="e">
        <f>'WS Q Cap Structure'!J220</f>
        <v>#DIV/0!</v>
      </c>
      <c r="H254" s="386" t="e">
        <f>$H$255*G254</f>
        <v>#DIV/0!</v>
      </c>
      <c r="I254" s="381"/>
      <c r="J254" s="151">
        <f>J235</f>
        <v>0.10349999999999999</v>
      </c>
      <c r="K254" s="363"/>
      <c r="L254" s="387" t="e">
        <f>+G254*J254</f>
        <v>#DIV/0!</v>
      </c>
      <c r="M254" s="168"/>
    </row>
    <row r="255" spans="2:21" ht="15.75" hidden="1">
      <c r="B255" s="358">
        <f>+B254+1</f>
        <v>154</v>
      </c>
      <c r="C255" s="359"/>
      <c r="D255" s="366" t="str">
        <f>" Total (Worksheet Q, ln "&amp;'WS Q Cap Structure'!A216&amp;")"</f>
        <v xml:space="preserve"> Total (Worksheet Q, ln 143)</v>
      </c>
      <c r="E255" s="363"/>
      <c r="F255" s="363"/>
      <c r="G255" s="363"/>
      <c r="H255" s="368" t="e">
        <f>'WS Q Cap Structure'!J216</f>
        <v>#DIV/0!</v>
      </c>
      <c r="I255" s="377"/>
      <c r="J255" s="388"/>
      <c r="K255" s="389" t="s">
        <v>354</v>
      </c>
      <c r="L255" s="390" t="e">
        <f>SUM(L252:L254)</f>
        <v>#DIV/0!</v>
      </c>
      <c r="M255" s="391"/>
    </row>
    <row r="256" spans="2:21">
      <c r="B256" s="170"/>
      <c r="C256" s="209"/>
      <c r="D256" s="314"/>
      <c r="E256" s="263"/>
      <c r="F256" s="392"/>
      <c r="G256" s="392"/>
      <c r="H256" s="392"/>
      <c r="I256" s="392"/>
      <c r="J256" s="393"/>
      <c r="K256" s="393"/>
      <c r="L256" s="393"/>
      <c r="M256" s="394"/>
      <c r="N256" s="181"/>
      <c r="O256" s="181"/>
      <c r="P256" s="181"/>
      <c r="Q256" s="181"/>
      <c r="R256" s="181"/>
      <c r="S256" s="181"/>
      <c r="T256" s="181"/>
      <c r="U256" s="181"/>
    </row>
    <row r="257" spans="2:21">
      <c r="B257" s="170"/>
      <c r="C257" s="209"/>
      <c r="D257" s="209"/>
      <c r="E257" s="173"/>
      <c r="F257" s="173"/>
      <c r="G257" s="173"/>
      <c r="H257" s="173"/>
      <c r="I257" s="173"/>
      <c r="J257" s="168"/>
      <c r="K257" s="165"/>
      <c r="L257" s="168"/>
      <c r="M257" s="165"/>
      <c r="N257" s="181"/>
      <c r="O257" s="181"/>
      <c r="P257" s="181"/>
      <c r="Q257" s="181"/>
      <c r="R257" s="181"/>
      <c r="S257" s="181"/>
      <c r="T257" s="181"/>
      <c r="U257" s="181"/>
    </row>
    <row r="258" spans="2:21" ht="15.75">
      <c r="B258" s="269"/>
      <c r="C258" s="171"/>
      <c r="D258" s="157"/>
      <c r="E258" s="157"/>
      <c r="F258" s="271" t="str">
        <f>F194</f>
        <v>AEPTCo subsidiaries in PJM</v>
      </c>
      <c r="G258" s="158"/>
      <c r="H258" s="168"/>
      <c r="I258" s="168"/>
      <c r="J258" s="168"/>
      <c r="K258" s="165"/>
      <c r="L258" s="168"/>
      <c r="M258" s="219"/>
      <c r="N258" s="181"/>
      <c r="O258" s="181"/>
      <c r="P258" s="181"/>
      <c r="Q258" s="181"/>
      <c r="R258" s="181"/>
      <c r="S258" s="181"/>
      <c r="T258" s="181"/>
      <c r="U258" s="181"/>
    </row>
    <row r="259" spans="2:21">
      <c r="B259" s="269"/>
      <c r="C259" s="171"/>
      <c r="D259" s="395"/>
      <c r="E259" s="171"/>
      <c r="F259" s="271" t="str">
        <f>F195</f>
        <v>Transmission Cost of Service Formula Rate</v>
      </c>
      <c r="G259" s="168"/>
      <c r="H259" s="168"/>
      <c r="I259" s="168"/>
      <c r="J259" s="168"/>
      <c r="K259" s="165"/>
      <c r="L259" s="184"/>
      <c r="M259" s="396"/>
      <c r="N259" s="181"/>
      <c r="O259" s="181"/>
      <c r="P259" s="181"/>
      <c r="Q259" s="181"/>
      <c r="R259" s="181"/>
      <c r="S259" s="181"/>
      <c r="T259" s="181"/>
      <c r="U259" s="181"/>
    </row>
    <row r="260" spans="2:21" ht="15.75">
      <c r="B260" s="269"/>
      <c r="C260" s="171"/>
      <c r="D260" s="395"/>
      <c r="E260" s="274"/>
      <c r="F260" s="271" t="str">
        <f>F196</f>
        <v>Utilizing  Actual/Projected FERC Form 1 Data</v>
      </c>
      <c r="G260" s="168"/>
      <c r="H260" s="168"/>
      <c r="I260" s="168"/>
      <c r="J260" s="168"/>
      <c r="K260" s="165"/>
      <c r="L260" s="184"/>
      <c r="M260" s="219"/>
      <c r="N260" s="181"/>
      <c r="O260" s="181"/>
      <c r="P260" s="181"/>
      <c r="Q260" s="181"/>
      <c r="R260" s="181"/>
      <c r="S260" s="181"/>
      <c r="T260" s="181"/>
      <c r="U260" s="181"/>
    </row>
    <row r="261" spans="2:21" ht="15.75">
      <c r="B261" s="170"/>
      <c r="C261" s="171"/>
      <c r="D261" s="395"/>
      <c r="E261" s="274"/>
      <c r="F261" s="271"/>
      <c r="G261" s="168"/>
      <c r="H261" s="168"/>
      <c r="I261" s="168"/>
      <c r="J261" s="168"/>
      <c r="K261" s="165"/>
      <c r="L261" s="184"/>
      <c r="M261" s="160"/>
      <c r="N261" s="181"/>
      <c r="O261" s="181"/>
      <c r="P261" s="181"/>
      <c r="Q261" s="181"/>
      <c r="R261" s="181"/>
      <c r="S261" s="181"/>
      <c r="T261" s="181"/>
      <c r="U261" s="181"/>
    </row>
    <row r="262" spans="2:21" ht="15.75">
      <c r="B262" s="170"/>
      <c r="C262" s="171"/>
      <c r="D262" s="395"/>
      <c r="E262" s="274"/>
      <c r="F262" s="271" t="str">
        <f>F198</f>
        <v>AEP Appalachian Transmission Company</v>
      </c>
      <c r="G262" s="168"/>
      <c r="H262" s="168"/>
      <c r="I262" s="168"/>
      <c r="J262" s="168"/>
      <c r="K262" s="165"/>
      <c r="L262" s="184"/>
      <c r="M262" s="160"/>
      <c r="N262" s="181"/>
      <c r="O262" s="181"/>
      <c r="P262" s="181"/>
      <c r="Q262" s="181"/>
      <c r="R262" s="181"/>
      <c r="S262" s="181"/>
      <c r="T262" s="181"/>
      <c r="U262" s="181"/>
    </row>
    <row r="263" spans="2:21" ht="15.75">
      <c r="B263" s="170"/>
      <c r="C263" s="171"/>
      <c r="D263" s="395"/>
      <c r="E263" s="274"/>
      <c r="F263" s="271"/>
      <c r="G263" s="168"/>
      <c r="H263" s="168"/>
      <c r="I263" s="168"/>
      <c r="J263" s="168"/>
      <c r="K263" s="165"/>
      <c r="L263" s="184"/>
      <c r="M263" s="160"/>
      <c r="N263" s="181"/>
      <c r="O263" s="181"/>
      <c r="P263" s="181"/>
      <c r="Q263" s="181"/>
      <c r="R263" s="181"/>
      <c r="S263" s="181"/>
      <c r="T263" s="181"/>
      <c r="U263" s="181"/>
    </row>
    <row r="264" spans="2:21" ht="15.75">
      <c r="B264" s="397" t="s">
        <v>466</v>
      </c>
      <c r="C264" s="178"/>
      <c r="D264" s="205"/>
      <c r="E264" s="181"/>
      <c r="F264" s="397" t="s">
        <v>465</v>
      </c>
      <c r="G264" s="186"/>
      <c r="H264" s="186"/>
      <c r="I264" s="186"/>
      <c r="J264" s="186" t="s">
        <v>621</v>
      </c>
      <c r="K264" s="181"/>
      <c r="L264" s="186"/>
      <c r="M264" s="160"/>
      <c r="N264" s="181"/>
      <c r="O264" s="181"/>
      <c r="P264" s="181"/>
      <c r="Q264" s="181"/>
      <c r="R264" s="181"/>
      <c r="S264" s="181"/>
      <c r="T264" s="181"/>
      <c r="U264" s="181"/>
    </row>
    <row r="265" spans="2:21">
      <c r="C265" s="178"/>
      <c r="L265" s="184"/>
      <c r="M265" s="160"/>
      <c r="N265" s="181"/>
      <c r="O265" s="181"/>
      <c r="P265" s="181"/>
      <c r="Q265" s="181"/>
      <c r="R265" s="181"/>
      <c r="S265" s="181"/>
      <c r="T265" s="181"/>
      <c r="U265" s="181"/>
    </row>
    <row r="266" spans="2:21">
      <c r="B266" s="170"/>
      <c r="C266" s="171"/>
      <c r="D266" s="162" t="s">
        <v>324</v>
      </c>
      <c r="E266" s="194"/>
      <c r="F266" s="194"/>
      <c r="G266" s="186"/>
      <c r="H266" s="186"/>
      <c r="I266" s="186"/>
      <c r="J266" s="186"/>
      <c r="K266" s="181"/>
      <c r="L266" s="186"/>
      <c r="M266" s="181"/>
      <c r="N266" s="181"/>
      <c r="O266" s="181"/>
      <c r="P266" s="181"/>
      <c r="Q266" s="181"/>
      <c r="R266" s="181"/>
      <c r="S266" s="181"/>
      <c r="T266" s="181"/>
      <c r="U266" s="181"/>
    </row>
    <row r="267" spans="2:21">
      <c r="B267" s="155"/>
      <c r="D267" s="205"/>
      <c r="E267" s="181"/>
      <c r="F267" s="181"/>
      <c r="G267" s="186"/>
      <c r="H267" s="186"/>
      <c r="I267" s="186"/>
      <c r="J267" s="186"/>
      <c r="K267" s="181"/>
      <c r="L267" s="186"/>
      <c r="M267" s="181"/>
      <c r="N267" s="181"/>
      <c r="O267" s="181"/>
      <c r="P267" s="181"/>
      <c r="Q267" s="181"/>
      <c r="R267" s="181"/>
      <c r="S267" s="181"/>
      <c r="T267" s="181"/>
      <c r="U267" s="181"/>
    </row>
    <row r="268" spans="2:21">
      <c r="B268" s="155"/>
      <c r="D268" s="205"/>
      <c r="E268" s="181"/>
      <c r="F268" s="181"/>
      <c r="G268" s="186"/>
      <c r="H268" s="186"/>
      <c r="I268" s="186"/>
      <c r="J268" s="186"/>
      <c r="K268" s="181"/>
      <c r="L268" s="186"/>
      <c r="M268" s="181"/>
      <c r="N268" s="181"/>
      <c r="O268" s="181"/>
      <c r="P268" s="181"/>
      <c r="Q268" s="181"/>
      <c r="R268" s="181"/>
      <c r="S268" s="181"/>
      <c r="T268" s="181"/>
      <c r="U268" s="181"/>
    </row>
    <row r="269" spans="2:21">
      <c r="B269" s="398" t="s">
        <v>438</v>
      </c>
      <c r="C269" s="178"/>
      <c r="D269" s="205" t="s">
        <v>266</v>
      </c>
      <c r="E269" s="181"/>
      <c r="F269" s="181"/>
      <c r="G269" s="186"/>
      <c r="H269" s="186"/>
      <c r="I269" s="186"/>
      <c r="J269" s="186"/>
      <c r="K269" s="181"/>
      <c r="L269" s="186"/>
      <c r="M269" s="181"/>
      <c r="N269" s="181"/>
      <c r="O269" s="181"/>
      <c r="P269" s="181"/>
      <c r="Q269" s="181"/>
      <c r="R269" s="181"/>
      <c r="S269" s="181"/>
      <c r="T269" s="181"/>
      <c r="U269" s="181"/>
    </row>
    <row r="270" spans="2:21">
      <c r="B270" s="398"/>
      <c r="C270" s="272"/>
      <c r="D270" s="205" t="s">
        <v>164</v>
      </c>
      <c r="E270" s="181"/>
      <c r="F270" s="181"/>
      <c r="G270" s="181"/>
      <c r="H270" s="181"/>
      <c r="I270" s="181"/>
      <c r="J270" s="181"/>
      <c r="K270" s="181"/>
      <c r="L270" s="181"/>
      <c r="M270" s="181"/>
      <c r="N270" s="181"/>
      <c r="O270" s="181"/>
      <c r="P270" s="181"/>
      <c r="Q270" s="181"/>
      <c r="R270" s="181"/>
      <c r="S270" s="181"/>
      <c r="T270" s="181"/>
      <c r="U270" s="181"/>
    </row>
    <row r="271" spans="2:21">
      <c r="B271" s="399"/>
      <c r="C271" s="160"/>
      <c r="D271" s="155" t="s">
        <v>165</v>
      </c>
      <c r="E271" s="400"/>
      <c r="F271" s="400"/>
      <c r="G271" s="181"/>
      <c r="H271" s="181"/>
      <c r="I271" s="181"/>
      <c r="J271" s="181"/>
      <c r="K271" s="181"/>
      <c r="L271" s="181"/>
      <c r="M271" s="181"/>
      <c r="N271" s="181"/>
      <c r="O271" s="181"/>
      <c r="P271" s="181"/>
      <c r="Q271" s="181"/>
      <c r="R271" s="181"/>
      <c r="S271" s="181"/>
      <c r="T271" s="181"/>
      <c r="U271" s="181"/>
    </row>
    <row r="272" spans="2:21">
      <c r="B272" s="399"/>
      <c r="C272" s="160"/>
      <c r="D272" s="205" t="s">
        <v>267</v>
      </c>
      <c r="E272" s="181"/>
      <c r="F272" s="181"/>
      <c r="G272" s="181"/>
      <c r="H272" s="181"/>
      <c r="I272" s="181"/>
      <c r="J272" s="181"/>
      <c r="K272" s="181"/>
      <c r="L272" s="181"/>
      <c r="M272" s="181"/>
      <c r="N272" s="181"/>
      <c r="O272" s="181"/>
      <c r="P272" s="181"/>
      <c r="Q272" s="181"/>
      <c r="R272" s="181"/>
      <c r="S272" s="181"/>
      <c r="T272" s="181"/>
      <c r="U272" s="181"/>
    </row>
    <row r="273" spans="2:21">
      <c r="B273" s="193"/>
      <c r="C273" s="194"/>
      <c r="D273" s="205" t="s">
        <v>268</v>
      </c>
      <c r="E273" s="181"/>
      <c r="F273" s="181"/>
      <c r="G273" s="181"/>
      <c r="H273" s="181"/>
      <c r="I273" s="181"/>
      <c r="J273" s="181"/>
      <c r="K273" s="181"/>
      <c r="L273" s="181"/>
      <c r="M273" s="181"/>
      <c r="N273" s="181"/>
      <c r="O273" s="181"/>
      <c r="P273" s="181"/>
      <c r="Q273" s="181"/>
      <c r="R273" s="181"/>
      <c r="S273" s="181"/>
      <c r="T273" s="181"/>
      <c r="U273" s="181"/>
    </row>
    <row r="274" spans="2:21">
      <c r="B274" s="193"/>
      <c r="C274" s="194"/>
      <c r="D274" s="205" t="s">
        <v>166</v>
      </c>
      <c r="E274" s="181"/>
      <c r="F274" s="181"/>
      <c r="G274" s="181"/>
      <c r="H274" s="181"/>
      <c r="I274" s="181"/>
      <c r="J274" s="181"/>
      <c r="K274" s="181"/>
      <c r="L274" s="181"/>
      <c r="M274" s="181"/>
      <c r="N274" s="181"/>
      <c r="O274" s="181"/>
      <c r="P274" s="181"/>
      <c r="Q274" s="181"/>
      <c r="R274" s="181"/>
      <c r="S274" s="181"/>
      <c r="T274" s="181"/>
      <c r="U274" s="181"/>
    </row>
    <row r="275" spans="2:21">
      <c r="B275" s="193"/>
      <c r="C275" s="194"/>
      <c r="D275" s="205" t="s">
        <v>167</v>
      </c>
      <c r="E275" s="181"/>
      <c r="F275" s="181"/>
      <c r="G275" s="181"/>
      <c r="H275" s="181"/>
      <c r="I275" s="181"/>
      <c r="J275" s="181"/>
      <c r="K275" s="181"/>
      <c r="L275" s="181"/>
      <c r="M275" s="181"/>
      <c r="N275" s="181"/>
      <c r="O275" s="181"/>
      <c r="P275" s="181"/>
      <c r="Q275" s="181"/>
      <c r="R275" s="181"/>
      <c r="S275" s="181"/>
      <c r="T275" s="181"/>
      <c r="U275" s="181"/>
    </row>
    <row r="276" spans="2:21">
      <c r="B276" s="193"/>
      <c r="C276" s="194"/>
      <c r="D276" s="205" t="s">
        <v>603</v>
      </c>
      <c r="E276" s="181"/>
      <c r="F276" s="181"/>
      <c r="G276" s="181"/>
      <c r="H276" s="181"/>
      <c r="I276" s="181"/>
      <c r="J276" s="181"/>
      <c r="K276" s="181"/>
      <c r="L276" s="181"/>
      <c r="M276" s="181"/>
      <c r="N276" s="181"/>
      <c r="O276" s="181"/>
      <c r="P276" s="181"/>
      <c r="Q276" s="181"/>
      <c r="R276" s="181"/>
      <c r="S276" s="181"/>
      <c r="T276" s="181"/>
      <c r="U276" s="181"/>
    </row>
    <row r="277" spans="2:21">
      <c r="B277" s="193"/>
      <c r="C277" s="194"/>
      <c r="D277" s="205" t="s">
        <v>590</v>
      </c>
      <c r="E277" s="181"/>
      <c r="F277" s="181"/>
      <c r="G277" s="181"/>
      <c r="H277" s="181"/>
      <c r="I277" s="181"/>
      <c r="J277" s="181"/>
      <c r="K277" s="181"/>
      <c r="L277" s="181"/>
      <c r="M277" s="181"/>
      <c r="N277" s="181"/>
      <c r="O277" s="181"/>
      <c r="P277" s="181"/>
      <c r="Q277" s="181"/>
      <c r="R277" s="181"/>
      <c r="S277" s="181"/>
      <c r="T277" s="181"/>
      <c r="U277" s="181"/>
    </row>
    <row r="278" spans="2:21">
      <c r="B278" s="193"/>
      <c r="C278" s="194"/>
      <c r="D278" s="205" t="s">
        <v>604</v>
      </c>
      <c r="E278" s="181"/>
      <c r="F278" s="181"/>
      <c r="G278" s="181"/>
      <c r="H278" s="181"/>
      <c r="I278" s="181"/>
      <c r="J278" s="181"/>
      <c r="K278" s="181"/>
      <c r="L278" s="181"/>
      <c r="M278" s="181"/>
      <c r="N278" s="181"/>
      <c r="O278" s="181"/>
      <c r="P278" s="181"/>
      <c r="Q278" s="181"/>
      <c r="R278" s="181"/>
      <c r="S278" s="181"/>
      <c r="T278" s="181"/>
      <c r="U278" s="181"/>
    </row>
    <row r="279" spans="2:21">
      <c r="B279" s="193"/>
      <c r="C279" s="194"/>
      <c r="D279" s="205" t="s">
        <v>591</v>
      </c>
      <c r="E279" s="181"/>
      <c r="F279" s="181"/>
      <c r="G279" s="181"/>
      <c r="H279" s="181"/>
      <c r="I279" s="181"/>
      <c r="J279" s="181"/>
      <c r="K279" s="181"/>
      <c r="L279" s="181"/>
      <c r="M279" s="181"/>
      <c r="N279" s="181"/>
      <c r="O279" s="181"/>
      <c r="P279" s="181"/>
      <c r="Q279" s="181"/>
      <c r="R279" s="181"/>
      <c r="S279" s="181"/>
      <c r="T279" s="181"/>
      <c r="U279" s="181"/>
    </row>
    <row r="280" spans="2:21">
      <c r="B280" s="193"/>
      <c r="C280" s="194"/>
      <c r="D280" s="205" t="s">
        <v>273</v>
      </c>
      <c r="E280" s="181"/>
      <c r="F280" s="181"/>
      <c r="G280" s="181"/>
      <c r="H280" s="181"/>
      <c r="I280" s="181"/>
      <c r="J280" s="181"/>
      <c r="K280" s="181"/>
      <c r="L280" s="181"/>
      <c r="M280" s="181"/>
      <c r="N280" s="181"/>
      <c r="O280" s="181"/>
      <c r="P280" s="181"/>
      <c r="Q280" s="181"/>
      <c r="R280" s="181"/>
      <c r="S280" s="181"/>
      <c r="T280" s="181"/>
      <c r="U280" s="181"/>
    </row>
    <row r="281" spans="2:21">
      <c r="B281" s="193"/>
      <c r="C281" s="194"/>
      <c r="D281" s="393"/>
      <c r="E281" s="181"/>
      <c r="F281" s="181"/>
      <c r="G281" s="181"/>
      <c r="H281" s="181"/>
      <c r="I281" s="181"/>
      <c r="J281" s="181"/>
      <c r="K281" s="181"/>
      <c r="L281" s="205"/>
      <c r="M281" s="181"/>
      <c r="N281" s="181"/>
      <c r="O281" s="181"/>
      <c r="P281" s="181"/>
      <c r="Q281" s="181"/>
      <c r="R281" s="181"/>
      <c r="S281" s="181"/>
      <c r="T281" s="181"/>
      <c r="U281" s="181"/>
    </row>
    <row r="282" spans="2:21" ht="15" customHeight="1">
      <c r="B282" s="193" t="s">
        <v>439</v>
      </c>
      <c r="C282" s="194"/>
      <c r="D282" s="1472" t="s">
        <v>605</v>
      </c>
      <c r="E282" s="1466"/>
      <c r="F282" s="1466"/>
      <c r="G282" s="1466"/>
      <c r="H282" s="1466"/>
      <c r="I282" s="1466"/>
      <c r="J282" s="1466"/>
      <c r="K282" s="1466"/>
      <c r="L282" s="205"/>
      <c r="M282" s="181"/>
      <c r="N282" s="181"/>
      <c r="O282" s="181"/>
      <c r="P282" s="181"/>
      <c r="Q282" s="181"/>
      <c r="R282" s="181"/>
      <c r="S282" s="181"/>
      <c r="T282" s="181"/>
      <c r="U282" s="181"/>
    </row>
    <row r="283" spans="2:21">
      <c r="B283" s="193"/>
      <c r="C283" s="194"/>
      <c r="D283" s="1466"/>
      <c r="E283" s="1466"/>
      <c r="F283" s="1466"/>
      <c r="G283" s="1466"/>
      <c r="H283" s="1466"/>
      <c r="I283" s="1466"/>
      <c r="J283" s="1466"/>
      <c r="K283" s="1466"/>
      <c r="L283" s="205"/>
      <c r="M283" s="181"/>
      <c r="N283" s="181"/>
      <c r="O283" s="181"/>
      <c r="P283" s="181"/>
      <c r="Q283" s="181"/>
      <c r="R283" s="181"/>
      <c r="S283" s="181"/>
      <c r="T283" s="181"/>
      <c r="U283" s="181"/>
    </row>
    <row r="284" spans="2:21">
      <c r="E284" s="181"/>
      <c r="F284" s="181"/>
      <c r="G284" s="181"/>
      <c r="H284" s="181"/>
      <c r="I284" s="181"/>
      <c r="J284" s="181"/>
      <c r="K284" s="181"/>
      <c r="L284" s="181"/>
      <c r="M284" s="181"/>
      <c r="N284" s="181"/>
      <c r="O284" s="181"/>
      <c r="P284" s="181"/>
      <c r="Q284" s="181"/>
      <c r="R284" s="181"/>
      <c r="S284" s="181"/>
      <c r="T284" s="181"/>
      <c r="U284" s="181"/>
    </row>
    <row r="285" spans="2:21">
      <c r="B285" s="193" t="s">
        <v>440</v>
      </c>
      <c r="C285" s="194"/>
      <c r="D285" s="394" t="s">
        <v>800</v>
      </c>
      <c r="E285" s="181"/>
      <c r="F285" s="181"/>
      <c r="G285" s="181"/>
      <c r="H285" s="181"/>
      <c r="I285" s="181"/>
      <c r="J285" s="181"/>
      <c r="K285" s="181"/>
      <c r="L285" s="181"/>
      <c r="M285" s="181"/>
      <c r="N285" s="181"/>
      <c r="O285" s="181"/>
      <c r="P285" s="181"/>
      <c r="Q285" s="181"/>
      <c r="R285" s="181"/>
      <c r="S285" s="181"/>
      <c r="T285" s="181"/>
      <c r="U285" s="181"/>
    </row>
    <row r="286" spans="2:21">
      <c r="B286" s="193"/>
      <c r="C286" s="194"/>
      <c r="D286" s="394"/>
      <c r="E286" s="181"/>
      <c r="F286" s="181"/>
      <c r="G286" s="181"/>
      <c r="H286" s="181"/>
      <c r="I286" s="181"/>
      <c r="J286" s="181"/>
      <c r="K286" s="181"/>
      <c r="L286" s="181"/>
      <c r="M286" s="181"/>
      <c r="N286" s="181"/>
      <c r="O286" s="181"/>
      <c r="P286" s="181"/>
      <c r="Q286" s="181"/>
      <c r="R286" s="181"/>
      <c r="S286" s="181"/>
      <c r="T286" s="181"/>
      <c r="U286" s="181"/>
    </row>
    <row r="287" spans="2:21">
      <c r="B287" s="193" t="s">
        <v>441</v>
      </c>
      <c r="C287" s="194"/>
      <c r="D287" s="205" t="s">
        <v>30</v>
      </c>
      <c r="E287" s="181"/>
      <c r="F287" s="181"/>
      <c r="G287" s="181"/>
      <c r="H287" s="181"/>
      <c r="I287" s="181"/>
      <c r="J287" s="181"/>
      <c r="K287" s="181"/>
      <c r="L287" s="181"/>
      <c r="M287" s="181"/>
      <c r="N287" s="181"/>
      <c r="O287" s="181"/>
      <c r="P287" s="205"/>
      <c r="Q287" s="205"/>
      <c r="R287" s="181"/>
      <c r="S287" s="181"/>
      <c r="T287" s="181"/>
      <c r="U287" s="181"/>
    </row>
    <row r="288" spans="2:21">
      <c r="B288" s="193"/>
      <c r="C288" s="194"/>
      <c r="D288" s="205" t="s">
        <v>279</v>
      </c>
      <c r="E288" s="181"/>
      <c r="F288" s="181"/>
      <c r="G288" s="181"/>
      <c r="H288" s="181"/>
      <c r="I288" s="181"/>
      <c r="J288" s="181"/>
      <c r="K288" s="181"/>
      <c r="L288" s="181"/>
      <c r="M288" s="181"/>
      <c r="N288" s="181"/>
      <c r="O288" s="181"/>
      <c r="P288" s="205"/>
      <c r="Q288" s="205"/>
      <c r="R288" s="181"/>
      <c r="S288" s="181"/>
      <c r="T288" s="181"/>
      <c r="U288" s="181"/>
    </row>
    <row r="289" spans="2:21">
      <c r="B289" s="193"/>
      <c r="C289" s="194"/>
      <c r="D289" s="205" t="s">
        <v>285</v>
      </c>
      <c r="E289" s="181"/>
      <c r="F289" s="181"/>
      <c r="G289" s="181"/>
      <c r="H289" s="181"/>
      <c r="I289" s="181"/>
      <c r="J289" s="181"/>
      <c r="K289" s="181"/>
      <c r="L289" s="325"/>
      <c r="M289" s="181"/>
      <c r="N289" s="181"/>
      <c r="O289" s="181"/>
      <c r="P289" s="205"/>
      <c r="Q289" s="205"/>
      <c r="R289" s="181"/>
      <c r="S289" s="181"/>
      <c r="T289" s="181"/>
      <c r="U289" s="181"/>
    </row>
    <row r="290" spans="2:21">
      <c r="B290" s="193"/>
      <c r="C290" s="194"/>
      <c r="D290" s="205" t="s">
        <v>154</v>
      </c>
      <c r="E290" s="181"/>
      <c r="F290" s="181"/>
      <c r="G290" s="181"/>
      <c r="H290" s="181"/>
      <c r="I290" s="181"/>
      <c r="J290" s="181"/>
      <c r="K290" s="181"/>
      <c r="L290" s="325"/>
      <c r="M290" s="181"/>
      <c r="N290" s="181"/>
      <c r="O290" s="181"/>
      <c r="P290" s="205"/>
      <c r="Q290" s="181"/>
      <c r="R290" s="181"/>
      <c r="S290" s="181"/>
      <c r="T290" s="181"/>
      <c r="U290" s="181"/>
    </row>
    <row r="291" spans="2:21">
      <c r="B291" s="193"/>
      <c r="C291" s="194"/>
      <c r="D291" s="205" t="s">
        <v>592</v>
      </c>
      <c r="E291" s="181"/>
      <c r="F291" s="181"/>
      <c r="G291" s="181"/>
      <c r="H291" s="181"/>
      <c r="I291" s="181"/>
      <c r="J291" s="181"/>
      <c r="K291" s="181"/>
      <c r="L291" s="325"/>
      <c r="M291" s="181"/>
      <c r="N291" s="181"/>
      <c r="O291" s="181"/>
      <c r="P291" s="205"/>
      <c r="Q291" s="181"/>
      <c r="R291" s="181"/>
      <c r="S291" s="181"/>
      <c r="T291" s="181"/>
      <c r="U291" s="181"/>
    </row>
    <row r="292" spans="2:21">
      <c r="B292" s="193"/>
      <c r="C292" s="194"/>
      <c r="D292" s="205" t="s">
        <v>593</v>
      </c>
      <c r="E292" s="181"/>
      <c r="F292" s="181"/>
      <c r="G292" s="181"/>
      <c r="H292" s="181"/>
      <c r="I292" s="181"/>
      <c r="J292" s="181"/>
      <c r="K292" s="181"/>
      <c r="L292" s="325"/>
      <c r="M292" s="181"/>
      <c r="N292" s="181"/>
      <c r="O292" s="181"/>
      <c r="P292" s="205"/>
      <c r="Q292" s="181"/>
      <c r="R292" s="181"/>
      <c r="S292" s="181"/>
      <c r="T292" s="181"/>
      <c r="U292" s="181"/>
    </row>
    <row r="293" spans="2:21">
      <c r="B293" s="193"/>
      <c r="C293" s="194"/>
      <c r="D293" s="205" t="s">
        <v>594</v>
      </c>
      <c r="E293" s="181"/>
      <c r="F293" s="181"/>
      <c r="G293" s="181"/>
      <c r="H293" s="181"/>
      <c r="I293" s="181"/>
      <c r="J293" s="181"/>
      <c r="K293" s="181"/>
      <c r="L293" s="325"/>
      <c r="M293" s="181"/>
      <c r="N293" s="181"/>
      <c r="O293" s="181"/>
      <c r="P293" s="205"/>
      <c r="Q293" s="181"/>
      <c r="R293" s="181"/>
      <c r="S293" s="181"/>
      <c r="T293" s="181"/>
      <c r="U293" s="181"/>
    </row>
    <row r="294" spans="2:21">
      <c r="B294" s="193"/>
      <c r="C294" s="194"/>
      <c r="D294" s="205" t="s">
        <v>100</v>
      </c>
      <c r="E294" s="181"/>
      <c r="F294" s="181"/>
      <c r="G294" s="181"/>
      <c r="H294" s="181"/>
      <c r="I294" s="181"/>
      <c r="J294" s="181"/>
      <c r="K294" s="181"/>
      <c r="L294" s="325"/>
      <c r="M294" s="181"/>
      <c r="N294" s="181"/>
      <c r="O294" s="181"/>
      <c r="P294" s="205"/>
      <c r="Q294" s="181"/>
      <c r="R294" s="181"/>
      <c r="S294" s="181"/>
      <c r="T294" s="181"/>
      <c r="U294" s="181"/>
    </row>
    <row r="295" spans="2:21">
      <c r="B295" s="193"/>
      <c r="C295" s="194"/>
      <c r="D295" s="205"/>
      <c r="E295" s="181"/>
      <c r="F295" s="181"/>
      <c r="G295" s="181"/>
      <c r="H295" s="181"/>
      <c r="I295" s="181"/>
      <c r="J295" s="181"/>
      <c r="K295" s="181"/>
      <c r="L295" s="325"/>
      <c r="M295" s="181"/>
      <c r="N295" s="181"/>
      <c r="O295" s="181"/>
      <c r="P295" s="205"/>
      <c r="Q295" s="181"/>
      <c r="R295" s="181"/>
      <c r="S295" s="181"/>
      <c r="T295" s="181"/>
      <c r="U295" s="181"/>
    </row>
    <row r="296" spans="2:21">
      <c r="B296" s="193" t="s">
        <v>442</v>
      </c>
      <c r="C296" s="205"/>
      <c r="D296" s="205" t="str">
        <f>"Cash Working Capital assigned to transmission is one-eighth of O&amp;M allocated to transmission, as shown on line "&amp;B134&amp;". It excludes:"</f>
        <v>Cash Working Capital assigned to transmission is one-eighth of O&amp;M allocated to transmission, as shown on line 66. It excludes:</v>
      </c>
      <c r="E296" s="401"/>
      <c r="F296" s="401"/>
      <c r="G296" s="401"/>
      <c r="H296" s="401"/>
      <c r="I296" s="401"/>
      <c r="J296" s="401"/>
      <c r="K296" s="401"/>
      <c r="L296" s="402"/>
      <c r="M296" s="181"/>
      <c r="N296" s="181"/>
      <c r="O296" s="181"/>
      <c r="P296" s="181"/>
      <c r="Q296" s="181"/>
      <c r="R296" s="181"/>
      <c r="S296" s="181"/>
      <c r="T296" s="181"/>
      <c r="U296" s="181"/>
    </row>
    <row r="297" spans="2:21">
      <c r="B297" s="193"/>
      <c r="C297" s="205"/>
      <c r="D297" s="403" t="str">
        <f>+"1)  Load Scheduling &amp; Dispatch Charges in account 561 that are collected in the OATT Ancilliary Services Revenue, as shown on line "&amp;B131&amp;"."</f>
        <v>1)  Load Scheduling &amp; Dispatch Charges in account 561 that are collected in the OATT Ancilliary Services Revenue, as shown on line 63.</v>
      </c>
      <c r="E297" s="243"/>
      <c r="F297" s="243"/>
      <c r="G297" s="243"/>
      <c r="H297" s="243"/>
      <c r="I297" s="243"/>
      <c r="J297" s="243"/>
      <c r="K297" s="243"/>
      <c r="L297" s="402"/>
      <c r="M297" s="181"/>
      <c r="N297" s="181"/>
      <c r="O297" s="181"/>
      <c r="P297" s="181"/>
      <c r="Q297" s="181"/>
      <c r="R297" s="181"/>
      <c r="S297" s="181"/>
      <c r="T297" s="181"/>
      <c r="U297" s="181"/>
    </row>
    <row r="298" spans="2:21">
      <c r="B298" s="193"/>
      <c r="C298" s="205"/>
      <c r="D298" s="404" t="str">
        <f>+"2)  Costs of Transmission of Electricity by Others, as described in Note H."</f>
        <v>2)  Costs of Transmission of Electricity by Others, as described in Note H.</v>
      </c>
      <c r="E298" s="401"/>
      <c r="F298" s="401"/>
      <c r="G298" s="401"/>
      <c r="H298" s="401"/>
      <c r="I298" s="401"/>
      <c r="J298" s="401"/>
      <c r="K298" s="401"/>
      <c r="L298" s="402"/>
      <c r="M298" s="181"/>
      <c r="N298" s="181"/>
      <c r="O298" s="181"/>
      <c r="P298" s="181"/>
      <c r="Q298" s="181"/>
      <c r="R298" s="181"/>
      <c r="S298" s="181"/>
      <c r="T298" s="181"/>
      <c r="U298" s="181"/>
    </row>
    <row r="299" spans="2:21">
      <c r="B299" s="193"/>
      <c r="C299" s="205"/>
      <c r="D299" s="403" t="str">
        <f>+"3)  The impact of state regulatory deferrals and amortizations, as shown on line  "&amp;B133&amp;""</f>
        <v>3)  The impact of state regulatory deferrals and amortizations, as shown on line  65</v>
      </c>
      <c r="E299" s="243"/>
      <c r="F299" s="243"/>
      <c r="G299" s="243"/>
      <c r="H299" s="243"/>
      <c r="I299" s="243"/>
      <c r="J299" s="243"/>
      <c r="K299" s="243"/>
      <c r="L299" s="402"/>
      <c r="M299" s="181"/>
      <c r="N299" s="181"/>
      <c r="O299" s="181"/>
      <c r="P299" s="181"/>
      <c r="Q299" s="181"/>
      <c r="R299" s="181"/>
      <c r="S299" s="181"/>
      <c r="T299" s="181"/>
      <c r="U299" s="181"/>
    </row>
    <row r="300" spans="2:21">
      <c r="B300" s="193"/>
      <c r="C300" s="243"/>
      <c r="D300" s="404" t="str">
        <f>"4) All A&amp;G Expenses, as shown on line "&amp;B147&amp;"."</f>
        <v>4) All A&amp;G Expenses, as shown on line 78.</v>
      </c>
      <c r="E300" s="401"/>
      <c r="F300" s="401"/>
      <c r="G300" s="401"/>
      <c r="H300" s="401"/>
      <c r="I300" s="401"/>
      <c r="J300" s="401"/>
      <c r="K300" s="401"/>
      <c r="L300" s="402"/>
      <c r="M300" s="181"/>
      <c r="N300" s="181"/>
      <c r="O300" s="181"/>
      <c r="P300" s="181"/>
      <c r="Q300" s="181"/>
      <c r="R300" s="181"/>
      <c r="S300" s="181"/>
      <c r="T300" s="181"/>
      <c r="U300" s="181"/>
    </row>
    <row r="301" spans="2:21">
      <c r="B301" s="193"/>
      <c r="C301" s="194"/>
      <c r="D301" s="403"/>
      <c r="E301" s="405"/>
      <c r="F301" s="405"/>
      <c r="G301" s="405"/>
      <c r="H301" s="405"/>
      <c r="I301" s="405"/>
      <c r="J301" s="405"/>
      <c r="K301" s="405"/>
      <c r="L301" s="181"/>
      <c r="M301" s="181"/>
      <c r="N301" s="181"/>
      <c r="O301" s="181"/>
      <c r="P301" s="181"/>
      <c r="Q301" s="181"/>
      <c r="R301" s="181"/>
      <c r="S301" s="181"/>
      <c r="T301" s="181"/>
      <c r="U301" s="181"/>
    </row>
    <row r="302" spans="2:21">
      <c r="B302" s="398" t="s">
        <v>443</v>
      </c>
      <c r="C302" s="272"/>
      <c r="D302" s="406" t="str">
        <f>"Consistent with Paragraph 657 of Order 2003-A, the amount on line "&amp;B110&amp;" is equal to the balance of IPP System Upgrade Credits owed to transmission customers that"</f>
        <v>Consistent with Paragraph 657 of Order 2003-A, the amount on line 57 is equal to the balance of IPP System Upgrade Credits owed to transmission customers that</v>
      </c>
      <c r="E302" s="406"/>
      <c r="F302" s="406"/>
      <c r="G302" s="406"/>
      <c r="H302" s="406"/>
      <c r="I302" s="406"/>
      <c r="J302" s="406"/>
      <c r="K302" s="406"/>
      <c r="L302" s="160"/>
      <c r="M302" s="181"/>
      <c r="N302" s="181"/>
      <c r="O302" s="181"/>
      <c r="P302" s="181"/>
      <c r="Q302" s="181"/>
      <c r="R302" s="181"/>
      <c r="S302" s="181"/>
      <c r="T302" s="181"/>
      <c r="U302" s="181"/>
    </row>
    <row r="303" spans="2:21">
      <c r="B303" s="399"/>
      <c r="C303" s="160"/>
      <c r="D303" s="406" t="s">
        <v>499</v>
      </c>
      <c r="E303" s="406"/>
      <c r="F303" s="406"/>
      <c r="G303" s="406"/>
      <c r="H303" s="406"/>
      <c r="I303" s="406"/>
      <c r="J303" s="406"/>
      <c r="K303" s="406"/>
      <c r="L303" s="160"/>
      <c r="M303" s="181"/>
      <c r="N303" s="181"/>
      <c r="O303" s="181"/>
      <c r="P303" s="181"/>
      <c r="Q303" s="181"/>
      <c r="R303" s="181"/>
      <c r="S303" s="181"/>
      <c r="T303" s="181"/>
      <c r="U303" s="181"/>
    </row>
    <row r="304" spans="2:21">
      <c r="B304" s="399"/>
      <c r="C304" s="160"/>
      <c r="D304" s="406" t="str">
        <f>"expense is included on line "&amp;B185&amp;"."</f>
        <v>expense is included on line 110.</v>
      </c>
      <c r="E304" s="406"/>
      <c r="F304" s="406"/>
      <c r="G304" s="406"/>
      <c r="H304" s="406"/>
      <c r="I304" s="406"/>
      <c r="J304" s="406"/>
      <c r="K304" s="406"/>
      <c r="L304" s="160"/>
      <c r="M304" s="181"/>
      <c r="N304" s="181"/>
      <c r="O304" s="181"/>
      <c r="P304" s="181"/>
      <c r="Q304" s="181"/>
      <c r="R304" s="181"/>
      <c r="S304" s="181"/>
      <c r="T304" s="181"/>
      <c r="U304" s="181"/>
    </row>
    <row r="305" spans="2:21" ht="21" customHeight="1">
      <c r="B305" s="399"/>
      <c r="C305" s="160"/>
      <c r="D305" s="406"/>
      <c r="E305" s="406"/>
      <c r="F305" s="406"/>
      <c r="G305" s="406"/>
      <c r="H305" s="406"/>
      <c r="I305" s="406"/>
      <c r="J305" s="406"/>
      <c r="K305" s="406"/>
      <c r="L305" s="160"/>
      <c r="M305" s="160"/>
      <c r="N305" s="181"/>
      <c r="O305" s="181"/>
      <c r="P305" s="181"/>
      <c r="Q305" s="181"/>
      <c r="R305" s="181"/>
      <c r="S305" s="181"/>
      <c r="T305" s="181"/>
      <c r="U305" s="181"/>
    </row>
    <row r="306" spans="2:21" ht="14.25" customHeight="1">
      <c r="B306" s="398" t="s">
        <v>444</v>
      </c>
      <c r="C306" s="160"/>
      <c r="D306" s="1458" t="str">
        <f>"Removes from the cost of service the Load Scheduling and Dispatch expenses booked to accounts 561.1 through 561.8.  Expenses recorded in these accounts, with the exception of 561.4 &amp; 561.8 (lines "&amp;B42&amp;" &amp; "&amp;B43&amp;" above) are recovered in Schedule 1A, OATT ancillary services rates. See Worksheet F, lines "&amp;'WS F Misc Exp'!A24&amp;" through "&amp;'WS F Misc Exp'!A33&amp;", for descriptions and the Form 1 Source of these accounts' balances."</f>
        <v>Removes from the cost of service the Load Scheduling and Dispatch expenses booked to accounts 561.1 through 561.8.  Expenses recorded in these accounts, with the exception of 561.4 &amp; 561.8 (lines 16 &amp; 17 above) are recovered in Schedule 1A, OATT ancillary services rates. See Worksheet F, lines 5 through 14, for descriptions and the Form 1 Source of these accounts' balances.</v>
      </c>
      <c r="E306" s="1458"/>
      <c r="F306" s="1458"/>
      <c r="G306" s="1458"/>
      <c r="H306" s="1458"/>
      <c r="I306" s="1458"/>
      <c r="J306" s="1458"/>
      <c r="K306" s="1458"/>
      <c r="L306" s="160"/>
      <c r="M306" s="160"/>
      <c r="N306" s="181"/>
      <c r="O306" s="181"/>
      <c r="P306" s="181"/>
      <c r="Q306" s="181"/>
      <c r="R306" s="181"/>
      <c r="S306" s="181"/>
      <c r="T306" s="181"/>
      <c r="U306" s="181"/>
    </row>
    <row r="307" spans="2:21" ht="45" customHeight="1">
      <c r="B307" s="398"/>
      <c r="C307" s="160"/>
      <c r="D307" s="1458"/>
      <c r="E307" s="1458"/>
      <c r="F307" s="1458"/>
      <c r="G307" s="1458"/>
      <c r="H307" s="1458"/>
      <c r="I307" s="1458"/>
      <c r="J307" s="1458"/>
      <c r="K307" s="1458"/>
      <c r="L307" s="160"/>
      <c r="M307" s="160"/>
      <c r="N307" s="181"/>
      <c r="O307" s="181"/>
      <c r="P307" s="181"/>
      <c r="Q307" s="181"/>
      <c r="R307" s="181"/>
      <c r="S307" s="181"/>
      <c r="T307" s="181"/>
      <c r="U307" s="181"/>
    </row>
    <row r="308" spans="2:21" ht="5.25" hidden="1" customHeight="1">
      <c r="B308" s="398"/>
      <c r="C308" s="160"/>
      <c r="D308" s="1458"/>
      <c r="E308" s="1458"/>
      <c r="F308" s="1458"/>
      <c r="G308" s="1458"/>
      <c r="H308" s="1458"/>
      <c r="I308" s="1458"/>
      <c r="J308" s="1458"/>
      <c r="K308" s="1458"/>
      <c r="L308" s="160"/>
      <c r="M308" s="160"/>
      <c r="N308" s="181"/>
      <c r="O308" s="181"/>
      <c r="P308" s="181"/>
      <c r="Q308" s="181"/>
      <c r="R308" s="181"/>
      <c r="S308" s="181"/>
      <c r="T308" s="181"/>
      <c r="U308" s="181"/>
    </row>
    <row r="309" spans="2:21">
      <c r="B309" s="398"/>
      <c r="C309" s="160"/>
      <c r="D309" s="403"/>
      <c r="E309" s="406"/>
      <c r="F309" s="406"/>
      <c r="G309" s="406"/>
      <c r="H309" s="406"/>
      <c r="I309" s="406"/>
      <c r="J309" s="406"/>
      <c r="K309" s="406"/>
      <c r="L309" s="160"/>
      <c r="M309" s="160"/>
      <c r="N309" s="181"/>
      <c r="O309" s="181"/>
      <c r="P309" s="181"/>
      <c r="Q309" s="181"/>
      <c r="R309" s="181"/>
      <c r="S309" s="181"/>
      <c r="T309" s="181"/>
      <c r="U309" s="181"/>
    </row>
    <row r="310" spans="2:21">
      <c r="B310" s="398" t="s">
        <v>445</v>
      </c>
      <c r="C310" s="160"/>
      <c r="D310" s="1461" t="str">
        <f>"Removes cost of transmission service provided by others to determine the basis of cash working capital on line "&amp;B134&amp;". To the extent such service is incurred to provide the PJM service at issue, e.g. lease payments to affiliates, such costs are added back on line "&amp;B150&amp;" to determine the total O&amp;M collected in the formula.  The amounts on line"&amp;B150&amp;" is also excluded in the calculation of the FCR percentage calculated on lines "&amp;B26&amp;" through "&amp;B34&amp;"."</f>
        <v>Removes cost of transmission service provided by others to determine the basis of cash working capital on line 66. To the extent such service is incurred to provide the PJM service at issue, e.g. lease payments to affiliates, such costs are added back on line 80 to determine the total O&amp;M collected in the formula.  The amounts on line80 is also excluded in the calculation of the FCR percentage calculated on lines 6 through 12.</v>
      </c>
      <c r="E310" s="1461"/>
      <c r="F310" s="1461"/>
      <c r="G310" s="1461"/>
      <c r="H310" s="1461"/>
      <c r="I310" s="1461"/>
      <c r="J310" s="1461"/>
      <c r="K310" s="1461"/>
      <c r="L310" s="160"/>
      <c r="M310" s="160"/>
      <c r="N310" s="181"/>
      <c r="O310" s="181"/>
      <c r="P310" s="181"/>
      <c r="Q310" s="181"/>
      <c r="R310" s="181"/>
      <c r="S310" s="181"/>
      <c r="T310" s="181"/>
      <c r="U310" s="181"/>
    </row>
    <row r="311" spans="2:21">
      <c r="B311" s="398"/>
      <c r="C311" s="160"/>
      <c r="D311" s="1461"/>
      <c r="E311" s="1461"/>
      <c r="F311" s="1461"/>
      <c r="G311" s="1461"/>
      <c r="H311" s="1461"/>
      <c r="I311" s="1461"/>
      <c r="J311" s="1461"/>
      <c r="K311" s="1461"/>
      <c r="L311" s="160"/>
      <c r="M311" s="160"/>
      <c r="N311" s="181"/>
      <c r="O311" s="181"/>
      <c r="P311" s="181"/>
      <c r="Q311" s="181"/>
      <c r="R311" s="181"/>
      <c r="S311" s="181"/>
      <c r="T311" s="181"/>
      <c r="U311" s="181"/>
    </row>
    <row r="312" spans="2:21">
      <c r="B312" s="398"/>
      <c r="C312" s="160"/>
      <c r="D312" s="1462"/>
      <c r="E312" s="1462"/>
      <c r="F312" s="1462"/>
      <c r="G312" s="1462"/>
      <c r="H312" s="1462"/>
      <c r="I312" s="1462"/>
      <c r="J312" s="1462"/>
      <c r="K312" s="1462"/>
      <c r="L312" s="160"/>
      <c r="M312" s="160"/>
      <c r="N312" s="181"/>
      <c r="O312" s="181"/>
      <c r="P312" s="181"/>
      <c r="Q312" s="181"/>
      <c r="R312" s="181"/>
      <c r="S312" s="181"/>
      <c r="T312" s="181"/>
      <c r="U312" s="181"/>
    </row>
    <row r="313" spans="2:21">
      <c r="B313" s="398"/>
      <c r="C313" s="160"/>
      <c r="D313" s="1463" t="str">
        <f>"The addbacks  on line"&amp;B150&amp;" of activity recorded in 565 represents inter-company sales or purchases of transmission capacity necessary to meet each AEP company's transmission load relative to their available transmission capacity."</f>
        <v>The addbacks  on line80 of activity recorded in 565 represents inter-company sales or purchases of transmission capacity necessary to meet each AEP company's transmission load relative to their available transmission capacity.</v>
      </c>
      <c r="E313" s="1463"/>
      <c r="F313" s="1463"/>
      <c r="G313" s="1463"/>
      <c r="H313" s="1463"/>
      <c r="I313" s="1463"/>
      <c r="J313" s="1463"/>
      <c r="K313" s="407"/>
      <c r="L313" s="160"/>
      <c r="M313" s="160"/>
      <c r="N313" s="181"/>
      <c r="O313" s="181"/>
      <c r="P313" s="181"/>
      <c r="Q313" s="181"/>
      <c r="R313" s="181"/>
      <c r="S313" s="181"/>
      <c r="T313" s="181"/>
      <c r="U313" s="181"/>
    </row>
    <row r="314" spans="2:21">
      <c r="B314" s="398"/>
      <c r="C314" s="160"/>
      <c r="D314" s="1463"/>
      <c r="E314" s="1463"/>
      <c r="F314" s="1463"/>
      <c r="G314" s="1463"/>
      <c r="H314" s="1463"/>
      <c r="I314" s="1463"/>
      <c r="J314" s="1463"/>
      <c r="K314" s="407"/>
      <c r="L314" s="160"/>
      <c r="M314" s="160"/>
      <c r="N314" s="181"/>
      <c r="O314" s="181"/>
      <c r="P314" s="181"/>
      <c r="Q314" s="181"/>
      <c r="R314" s="181"/>
      <c r="S314" s="181"/>
      <c r="T314" s="181"/>
      <c r="U314" s="181"/>
    </row>
    <row r="315" spans="2:21" ht="22.5" customHeight="1">
      <c r="B315" s="398"/>
      <c r="C315" s="160"/>
      <c r="D315" s="406" t="str">
        <f>"The company records referenced on line"&amp;B150&amp;" is the "&amp;F9&amp;" general ledger."</f>
        <v>The company records referenced on line80 is the AEP Appalachian Transmission Company general ledger.</v>
      </c>
      <c r="E315" s="408"/>
      <c r="F315" s="408"/>
      <c r="G315" s="408"/>
      <c r="H315" s="408"/>
      <c r="I315" s="408"/>
      <c r="J315" s="408"/>
      <c r="K315" s="407"/>
      <c r="L315" s="160"/>
      <c r="M315" s="160"/>
      <c r="N315" s="181"/>
      <c r="O315" s="181"/>
      <c r="P315" s="181"/>
      <c r="Q315" s="181"/>
      <c r="R315" s="181"/>
      <c r="S315" s="181"/>
      <c r="T315" s="181"/>
      <c r="U315" s="181"/>
    </row>
    <row r="316" spans="2:21">
      <c r="B316" s="398"/>
      <c r="C316" s="160"/>
      <c r="D316" s="408"/>
      <c r="E316" s="408"/>
      <c r="F316" s="408"/>
      <c r="G316" s="408"/>
      <c r="H316" s="408"/>
      <c r="I316" s="408"/>
      <c r="J316" s="408"/>
      <c r="K316" s="408"/>
      <c r="L316" s="160"/>
      <c r="M316" s="160"/>
      <c r="N316" s="181"/>
      <c r="O316" s="181"/>
      <c r="P316" s="181"/>
      <c r="Q316" s="181"/>
      <c r="R316" s="181"/>
      <c r="S316" s="181"/>
      <c r="T316" s="181"/>
      <c r="U316" s="181"/>
    </row>
    <row r="317" spans="2:21">
      <c r="B317" s="398" t="s">
        <v>446</v>
      </c>
      <c r="C317" s="160"/>
      <c r="D317" s="406" t="s">
        <v>595</v>
      </c>
      <c r="E317" s="209"/>
      <c r="F317" s="209"/>
      <c r="G317" s="209"/>
      <c r="H317" s="209"/>
      <c r="I317" s="209"/>
      <c r="J317" s="209"/>
      <c r="K317" s="209"/>
      <c r="L317" s="160"/>
      <c r="M317" s="160"/>
      <c r="N317" s="181"/>
      <c r="O317" s="181"/>
      <c r="P317" s="181"/>
      <c r="Q317" s="181"/>
      <c r="R317" s="181"/>
      <c r="S317" s="181"/>
      <c r="T317" s="181"/>
      <c r="U317" s="181"/>
    </row>
    <row r="318" spans="2:21">
      <c r="B318" s="398"/>
      <c r="C318" s="160"/>
      <c r="D318" s="409"/>
      <c r="E318" s="409"/>
      <c r="F318" s="409"/>
      <c r="G318" s="409"/>
      <c r="H318" s="409"/>
      <c r="I318" s="409"/>
      <c r="J318" s="409"/>
      <c r="K318" s="409"/>
      <c r="L318" s="160"/>
      <c r="M318" s="160"/>
      <c r="N318" s="181"/>
      <c r="O318" s="181"/>
      <c r="P318" s="181"/>
      <c r="Q318" s="181"/>
      <c r="R318" s="181"/>
      <c r="S318" s="181"/>
      <c r="T318" s="181"/>
      <c r="U318" s="181"/>
    </row>
    <row r="319" spans="2:21" ht="15" customHeight="1">
      <c r="B319" s="398" t="s">
        <v>447</v>
      </c>
      <c r="C319" s="160"/>
      <c r="D319" s="1465" t="s">
        <v>7</v>
      </c>
      <c r="E319" s="1466"/>
      <c r="F319" s="1466"/>
      <c r="G319" s="1466"/>
      <c r="H319" s="1466"/>
      <c r="I319" s="1466"/>
      <c r="J319" s="1466"/>
      <c r="K319" s="406"/>
      <c r="L319" s="160"/>
      <c r="M319" s="160"/>
      <c r="N319" s="181"/>
      <c r="O319" s="181"/>
      <c r="P319" s="181"/>
      <c r="Q319" s="181"/>
      <c r="R319" s="181"/>
      <c r="S319" s="181"/>
      <c r="T319" s="181"/>
      <c r="U319" s="181"/>
    </row>
    <row r="320" spans="2:21">
      <c r="B320" s="398"/>
      <c r="C320" s="160"/>
      <c r="D320" s="1467"/>
      <c r="E320" s="1467"/>
      <c r="F320" s="1467"/>
      <c r="G320" s="1467"/>
      <c r="H320" s="1467"/>
      <c r="I320" s="1467"/>
      <c r="J320" s="1467"/>
      <c r="K320" s="409"/>
      <c r="L320" s="160"/>
      <c r="M320" s="160"/>
      <c r="N320" s="181"/>
      <c r="O320" s="181"/>
      <c r="P320" s="181"/>
      <c r="Q320" s="181"/>
      <c r="R320" s="181"/>
      <c r="S320" s="181"/>
      <c r="T320" s="181"/>
      <c r="U320" s="181"/>
    </row>
    <row r="321" spans="2:21">
      <c r="B321" s="398"/>
      <c r="C321" s="160"/>
      <c r="D321" s="1466"/>
      <c r="E321" s="1466"/>
      <c r="F321" s="1466"/>
      <c r="G321" s="1466"/>
      <c r="H321" s="1466"/>
      <c r="I321" s="1466"/>
      <c r="J321" s="1466"/>
      <c r="K321" s="406"/>
      <c r="L321" s="160"/>
      <c r="M321" s="160"/>
      <c r="N321" s="181"/>
      <c r="O321" s="181"/>
      <c r="P321" s="181"/>
      <c r="Q321" s="181"/>
      <c r="R321" s="181"/>
      <c r="S321" s="181"/>
      <c r="T321" s="181"/>
      <c r="U321" s="181"/>
    </row>
    <row r="322" spans="2:21">
      <c r="B322" s="398"/>
      <c r="C322" s="160"/>
      <c r="D322" s="160"/>
      <c r="E322" s="160"/>
      <c r="F322" s="160"/>
      <c r="G322" s="160"/>
      <c r="H322" s="160"/>
      <c r="I322" s="160"/>
      <c r="J322" s="160"/>
      <c r="K322" s="160"/>
      <c r="L322" s="160"/>
      <c r="M322" s="160"/>
      <c r="N322" s="181"/>
      <c r="O322" s="181"/>
      <c r="P322" s="181"/>
      <c r="Q322" s="181"/>
      <c r="R322" s="181"/>
      <c r="S322" s="181"/>
      <c r="T322" s="181"/>
      <c r="U322" s="181"/>
    </row>
    <row r="323" spans="2:21" ht="15" customHeight="1">
      <c r="B323" s="193" t="s">
        <v>448</v>
      </c>
      <c r="C323" s="160"/>
      <c r="D323" s="1459" t="s">
        <v>798</v>
      </c>
      <c r="E323" s="1460"/>
      <c r="F323" s="1460"/>
      <c r="G323" s="1460"/>
      <c r="H323" s="1460"/>
      <c r="I323" s="1460"/>
      <c r="J323" s="1460"/>
      <c r="K323" s="1460"/>
      <c r="L323" s="160"/>
      <c r="M323" s="160"/>
      <c r="N323" s="181"/>
      <c r="O323" s="181"/>
      <c r="P323" s="181"/>
      <c r="Q323" s="181"/>
      <c r="R323" s="181"/>
      <c r="S323" s="181"/>
      <c r="T323" s="181"/>
      <c r="U323" s="181"/>
    </row>
    <row r="324" spans="2:21">
      <c r="B324" s="398"/>
      <c r="C324" s="160"/>
      <c r="D324" s="160"/>
      <c r="E324" s="160"/>
      <c r="F324" s="160"/>
      <c r="G324" s="160"/>
      <c r="H324" s="160"/>
      <c r="I324" s="160"/>
      <c r="J324" s="160"/>
      <c r="K324" s="160"/>
      <c r="L324" s="160"/>
      <c r="M324" s="160"/>
      <c r="N324" s="181"/>
      <c r="O324" s="181"/>
      <c r="P324" s="181"/>
      <c r="Q324" s="181"/>
      <c r="R324" s="181"/>
      <c r="S324" s="181"/>
      <c r="T324" s="181"/>
      <c r="U324" s="181"/>
    </row>
    <row r="325" spans="2:21">
      <c r="B325" s="193" t="s">
        <v>449</v>
      </c>
      <c r="C325" s="194"/>
      <c r="D325" s="205" t="s">
        <v>150</v>
      </c>
      <c r="E325" s="181"/>
      <c r="F325" s="181"/>
      <c r="G325" s="181"/>
      <c r="H325" s="181"/>
      <c r="I325" s="181"/>
      <c r="J325" s="181"/>
      <c r="K325" s="181"/>
      <c r="L325" s="181"/>
      <c r="M325" s="160"/>
      <c r="N325" s="181"/>
      <c r="O325" s="181"/>
      <c r="P325" s="181"/>
      <c r="Q325" s="181"/>
      <c r="R325" s="181"/>
      <c r="S325" s="181"/>
      <c r="T325" s="181"/>
      <c r="U325" s="181"/>
    </row>
    <row r="326" spans="2:21">
      <c r="B326" s="193"/>
      <c r="C326" s="194"/>
      <c r="D326" s="205" t="s">
        <v>269</v>
      </c>
      <c r="E326" s="181"/>
      <c r="F326" s="181"/>
      <c r="G326" s="181"/>
      <c r="H326" s="181"/>
      <c r="I326" s="181"/>
      <c r="J326" s="181"/>
      <c r="K326" s="181"/>
      <c r="L326" s="181"/>
      <c r="M326" s="160"/>
      <c r="N326" s="181"/>
      <c r="O326" s="181"/>
      <c r="P326" s="181"/>
      <c r="Q326" s="181"/>
      <c r="R326" s="181"/>
      <c r="S326" s="181"/>
      <c r="T326" s="181"/>
      <c r="U326" s="181"/>
    </row>
    <row r="327" spans="2:21">
      <c r="B327" s="193"/>
      <c r="C327" s="194"/>
      <c r="D327" s="205" t="s">
        <v>270</v>
      </c>
      <c r="E327" s="181"/>
      <c r="F327" s="181"/>
      <c r="G327" s="181"/>
      <c r="H327" s="181"/>
      <c r="I327" s="181"/>
      <c r="J327" s="181"/>
      <c r="K327" s="181"/>
      <c r="L327" s="181"/>
      <c r="M327" s="160"/>
      <c r="N327" s="181"/>
      <c r="O327" s="181"/>
      <c r="P327" s="181"/>
      <c r="Q327" s="181"/>
      <c r="R327" s="181"/>
      <c r="S327" s="181"/>
      <c r="T327" s="181"/>
      <c r="U327" s="181"/>
    </row>
    <row r="328" spans="2:21">
      <c r="B328" s="193"/>
      <c r="C328" s="194"/>
      <c r="D328" s="160" t="s">
        <v>271</v>
      </c>
      <c r="E328" s="181"/>
      <c r="F328" s="181"/>
      <c r="G328" s="181"/>
      <c r="H328" s="181"/>
      <c r="I328" s="181"/>
      <c r="J328" s="181"/>
      <c r="K328" s="181"/>
      <c r="L328" s="181"/>
      <c r="M328" s="160"/>
      <c r="N328" s="181"/>
      <c r="O328" s="181"/>
      <c r="P328" s="181"/>
      <c r="Q328" s="181"/>
      <c r="R328" s="181"/>
      <c r="S328" s="181"/>
      <c r="T328" s="181"/>
      <c r="U328" s="181"/>
    </row>
    <row r="329" spans="2:21">
      <c r="B329" s="193"/>
      <c r="C329" s="194"/>
      <c r="D329" s="160"/>
      <c r="E329" s="181"/>
      <c r="F329" s="181"/>
      <c r="G329" s="181"/>
      <c r="H329" s="181"/>
      <c r="I329" s="181"/>
      <c r="J329" s="181"/>
      <c r="K329" s="181"/>
      <c r="L329" s="181"/>
      <c r="M329" s="160"/>
      <c r="N329" s="181"/>
      <c r="O329" s="181"/>
      <c r="P329" s="181"/>
      <c r="Q329" s="181"/>
      <c r="R329" s="181"/>
      <c r="S329" s="181"/>
      <c r="T329" s="181"/>
      <c r="U329" s="181"/>
    </row>
    <row r="330" spans="2:21" ht="25.5" customHeight="1">
      <c r="B330" s="193" t="s">
        <v>450</v>
      </c>
      <c r="C330" s="194"/>
      <c r="D330" s="1464" t="s">
        <v>799</v>
      </c>
      <c r="E330" s="1464"/>
      <c r="F330" s="1464"/>
      <c r="G330" s="1464"/>
      <c r="H330" s="1464"/>
      <c r="I330" s="1464"/>
      <c r="J330" s="1464"/>
      <c r="K330" s="1464"/>
      <c r="L330" s="1464"/>
      <c r="M330" s="160"/>
      <c r="N330" s="181"/>
      <c r="O330" s="181"/>
      <c r="P330" s="181"/>
      <c r="Q330" s="181"/>
      <c r="R330" s="181"/>
      <c r="S330" s="181"/>
      <c r="T330" s="181"/>
      <c r="U330" s="181"/>
    </row>
    <row r="331" spans="2:21">
      <c r="B331" s="193"/>
      <c r="C331" s="194"/>
      <c r="D331" s="1464"/>
      <c r="E331" s="1464"/>
      <c r="F331" s="1464"/>
      <c r="G331" s="1464"/>
      <c r="H331" s="1464"/>
      <c r="I331" s="1464"/>
      <c r="J331" s="1464"/>
      <c r="K331" s="1464"/>
      <c r="L331" s="1464"/>
      <c r="M331" s="160"/>
      <c r="N331" s="181"/>
      <c r="O331" s="181"/>
      <c r="P331" s="181"/>
      <c r="Q331" s="181"/>
      <c r="R331" s="181"/>
      <c r="S331" s="181"/>
      <c r="T331" s="181"/>
      <c r="U331" s="181"/>
    </row>
    <row r="332" spans="2:21">
      <c r="B332" s="193"/>
      <c r="C332" s="194"/>
      <c r="D332" s="1464"/>
      <c r="E332" s="1464"/>
      <c r="F332" s="1464"/>
      <c r="G332" s="1464"/>
      <c r="H332" s="1464"/>
      <c r="I332" s="1464"/>
      <c r="J332" s="1464"/>
      <c r="K332" s="1464"/>
      <c r="L332" s="1464"/>
      <c r="M332" s="160"/>
      <c r="N332" s="181"/>
      <c r="O332" s="181"/>
      <c r="P332" s="181"/>
      <c r="Q332" s="181"/>
      <c r="R332" s="181"/>
      <c r="S332" s="181"/>
      <c r="T332" s="181"/>
      <c r="U332" s="181"/>
    </row>
    <row r="333" spans="2:21">
      <c r="B333" s="193"/>
      <c r="C333" s="194"/>
      <c r="D333" s="410"/>
      <c r="E333" s="181"/>
      <c r="F333" s="181"/>
      <c r="G333" s="181"/>
      <c r="H333" s="181"/>
      <c r="I333" s="181"/>
      <c r="J333" s="181"/>
      <c r="K333" s="181"/>
      <c r="L333" s="181"/>
      <c r="M333" s="160"/>
      <c r="N333" s="181"/>
      <c r="O333" s="181"/>
      <c r="P333" s="181"/>
      <c r="Q333" s="181"/>
      <c r="R333" s="181"/>
      <c r="S333" s="181"/>
      <c r="T333" s="181"/>
      <c r="U333" s="181"/>
    </row>
    <row r="334" spans="2:21">
      <c r="B334" s="271" t="s">
        <v>31</v>
      </c>
      <c r="C334" s="194"/>
      <c r="D334" s="205" t="s">
        <v>586</v>
      </c>
      <c r="E334" s="164"/>
      <c r="F334" s="164"/>
      <c r="G334" s="164"/>
      <c r="H334" s="164"/>
      <c r="I334" s="164"/>
      <c r="J334" s="164"/>
      <c r="K334" s="160"/>
      <c r="L334" s="160"/>
      <c r="M334" s="160"/>
      <c r="N334" s="181"/>
      <c r="O334" s="181"/>
      <c r="P334" s="181"/>
      <c r="Q334" s="181"/>
      <c r="R334" s="181"/>
      <c r="S334" s="181"/>
      <c r="T334" s="181"/>
      <c r="U334" s="181"/>
    </row>
    <row r="335" spans="2:21">
      <c r="B335" s="271"/>
      <c r="C335" s="194"/>
      <c r="D335" s="164"/>
      <c r="E335" s="164"/>
      <c r="F335" s="164"/>
      <c r="G335" s="164"/>
      <c r="H335" s="164"/>
      <c r="I335" s="164"/>
      <c r="J335" s="164"/>
      <c r="K335" s="160"/>
      <c r="L335" s="160"/>
      <c r="M335" s="160"/>
      <c r="N335" s="181"/>
      <c r="O335" s="181"/>
      <c r="P335" s="181"/>
      <c r="Q335" s="181"/>
      <c r="R335" s="181"/>
      <c r="S335" s="181"/>
      <c r="T335" s="181"/>
      <c r="U335" s="181"/>
    </row>
    <row r="336" spans="2:21">
      <c r="B336" s="193" t="s">
        <v>99</v>
      </c>
      <c r="C336" s="194"/>
      <c r="D336" s="205" t="s">
        <v>138</v>
      </c>
      <c r="E336" s="160"/>
      <c r="F336" s="160"/>
      <c r="G336" s="160"/>
      <c r="H336" s="160"/>
      <c r="I336" s="160"/>
      <c r="J336" s="160"/>
      <c r="K336" s="160"/>
      <c r="L336" s="160"/>
      <c r="M336" s="160"/>
      <c r="N336" s="181"/>
      <c r="O336" s="181"/>
      <c r="P336" s="181"/>
      <c r="Q336" s="181"/>
      <c r="R336" s="181"/>
      <c r="S336" s="181"/>
      <c r="T336" s="181"/>
      <c r="U336" s="181"/>
    </row>
    <row r="337" spans="2:21">
      <c r="B337" s="271"/>
      <c r="C337" s="194"/>
      <c r="D337" s="205" t="s">
        <v>18</v>
      </c>
      <c r="E337" s="160"/>
      <c r="F337" s="160"/>
      <c r="G337" s="160"/>
      <c r="H337" s="160"/>
      <c r="I337" s="160"/>
      <c r="J337" s="160"/>
      <c r="K337" s="160"/>
      <c r="L337" s="160"/>
      <c r="M337" s="160"/>
      <c r="N337" s="181"/>
      <c r="O337" s="181"/>
      <c r="P337" s="181"/>
      <c r="Q337" s="181"/>
      <c r="R337" s="181"/>
      <c r="S337" s="181"/>
      <c r="T337" s="181"/>
      <c r="U337" s="181"/>
    </row>
    <row r="338" spans="2:21">
      <c r="B338" s="271"/>
      <c r="C338" s="194"/>
      <c r="D338" s="205" t="s">
        <v>19</v>
      </c>
      <c r="E338" s="160"/>
      <c r="F338" s="160"/>
      <c r="G338" s="160"/>
      <c r="H338" s="160"/>
      <c r="I338" s="160"/>
      <c r="J338" s="160"/>
      <c r="K338" s="160"/>
      <c r="L338" s="160"/>
      <c r="M338" s="160"/>
      <c r="N338" s="181"/>
      <c r="O338" s="181"/>
      <c r="P338" s="181"/>
      <c r="Q338" s="181"/>
      <c r="R338" s="181"/>
      <c r="S338" s="181"/>
      <c r="T338" s="181"/>
      <c r="U338" s="181"/>
    </row>
    <row r="339" spans="2:21">
      <c r="B339" s="271"/>
      <c r="C339" s="194"/>
      <c r="D339" s="205" t="s">
        <v>20</v>
      </c>
      <c r="E339" s="160"/>
      <c r="F339" s="160"/>
      <c r="G339" s="160"/>
      <c r="H339" s="160"/>
      <c r="I339" s="160"/>
      <c r="J339" s="160"/>
      <c r="K339" s="160"/>
      <c r="L339" s="160"/>
      <c r="M339" s="160"/>
      <c r="N339" s="181"/>
      <c r="O339" s="181"/>
      <c r="P339" s="181"/>
      <c r="Q339" s="181"/>
      <c r="R339" s="181"/>
      <c r="S339" s="181"/>
      <c r="T339" s="181"/>
      <c r="U339" s="181"/>
    </row>
    <row r="340" spans="2:21">
      <c r="B340" s="193"/>
      <c r="C340" s="194"/>
      <c r="D340" s="205" t="str">
        <f>"(ln "&amp;B174&amp;") multiplied by (1/1-T) .  If the applicable tax rates are zero enter 0."</f>
        <v>(ln 101) multiplied by (1/1-T) .  If the applicable tax rates are zero enter 0.</v>
      </c>
      <c r="H340" s="160"/>
      <c r="I340" s="160"/>
      <c r="J340" s="160"/>
      <c r="K340" s="160"/>
      <c r="L340" s="160"/>
      <c r="M340" s="160"/>
      <c r="N340" s="181"/>
      <c r="O340" s="181"/>
      <c r="P340" s="181"/>
      <c r="Q340" s="181"/>
      <c r="R340" s="181"/>
      <c r="S340" s="181"/>
      <c r="T340" s="181"/>
      <c r="U340" s="181"/>
    </row>
    <row r="341" spans="2:21">
      <c r="B341" s="411"/>
      <c r="C341" s="181"/>
      <c r="D341" s="205" t="s">
        <v>139</v>
      </c>
      <c r="E341" s="181" t="s">
        <v>140</v>
      </c>
      <c r="F341" s="148">
        <v>0.21</v>
      </c>
      <c r="G341" s="181"/>
      <c r="H341" s="160"/>
      <c r="I341" s="160"/>
      <c r="J341" s="160"/>
      <c r="K341" s="160"/>
      <c r="L341" s="160"/>
      <c r="M341" s="160"/>
      <c r="N341" s="181"/>
      <c r="O341" s="181"/>
      <c r="P341" s="181"/>
      <c r="Q341" s="181"/>
      <c r="R341" s="181"/>
      <c r="S341" s="181"/>
      <c r="T341" s="181"/>
      <c r="U341" s="181"/>
    </row>
    <row r="342" spans="2:21">
      <c r="B342" s="411"/>
      <c r="C342" s="181"/>
      <c r="D342" s="205"/>
      <c r="E342" s="181" t="s">
        <v>141</v>
      </c>
      <c r="F342" s="400">
        <f>+'WS G  State Tax Rate'!F29</f>
        <v>6.5100000000000005E-2</v>
      </c>
      <c r="G342" s="181" t="s">
        <v>293</v>
      </c>
      <c r="H342" s="160"/>
      <c r="I342" s="160"/>
      <c r="J342" s="160"/>
      <c r="K342" s="160"/>
      <c r="L342" s="160"/>
      <c r="M342" s="160"/>
      <c r="N342" s="181"/>
      <c r="O342" s="181"/>
      <c r="P342" s="181"/>
      <c r="Q342" s="181"/>
      <c r="R342" s="181"/>
      <c r="S342" s="181"/>
      <c r="T342" s="181"/>
      <c r="U342" s="181"/>
    </row>
    <row r="343" spans="2:21">
      <c r="B343" s="411"/>
      <c r="C343" s="181"/>
      <c r="D343" s="205"/>
      <c r="E343" s="181" t="s">
        <v>142</v>
      </c>
      <c r="F343" s="148">
        <v>0</v>
      </c>
      <c r="G343" s="181" t="s">
        <v>143</v>
      </c>
      <c r="H343" s="160"/>
      <c r="I343" s="160"/>
      <c r="J343" s="160"/>
      <c r="K343" s="160"/>
      <c r="L343" s="160"/>
      <c r="M343" s="160"/>
      <c r="N343" s="181"/>
      <c r="O343" s="181"/>
      <c r="P343" s="181"/>
      <c r="Q343" s="181"/>
      <c r="R343" s="181"/>
      <c r="S343" s="181"/>
      <c r="T343" s="181"/>
      <c r="U343" s="181"/>
    </row>
    <row r="344" spans="2:21" ht="46.5" customHeight="1">
      <c r="B344" s="271"/>
      <c r="C344" s="194"/>
      <c r="D344" s="1468" t="s">
        <v>596</v>
      </c>
      <c r="E344" s="1468"/>
      <c r="F344" s="1468"/>
      <c r="G344" s="1468"/>
      <c r="H344" s="1468"/>
      <c r="I344" s="1468"/>
      <c r="J344" s="1468"/>
      <c r="K344" s="160"/>
      <c r="L344" s="160"/>
      <c r="M344" s="181"/>
      <c r="N344" s="181"/>
      <c r="O344" s="181"/>
      <c r="P344" s="181"/>
      <c r="Q344" s="181"/>
      <c r="R344" s="181"/>
      <c r="S344" s="181"/>
      <c r="T344" s="181"/>
      <c r="U344" s="181"/>
    </row>
    <row r="345" spans="2:21">
      <c r="B345" s="193" t="s">
        <v>144</v>
      </c>
      <c r="C345" s="194"/>
      <c r="D345" s="205" t="s">
        <v>539</v>
      </c>
      <c r="E345" s="160"/>
      <c r="F345" s="160"/>
      <c r="G345" s="160"/>
      <c r="H345" s="160"/>
      <c r="I345" s="160"/>
      <c r="J345" s="160"/>
      <c r="K345" s="160"/>
      <c r="L345" s="160"/>
      <c r="M345" s="160"/>
      <c r="N345" s="181"/>
      <c r="O345" s="181"/>
      <c r="P345" s="181"/>
      <c r="Q345" s="181"/>
      <c r="R345" s="181"/>
      <c r="S345" s="181"/>
      <c r="T345" s="181"/>
      <c r="U345" s="181"/>
    </row>
    <row r="346" spans="2:21">
      <c r="B346" s="155"/>
      <c r="D346" s="205"/>
      <c r="E346" s="160"/>
      <c r="F346" s="160"/>
      <c r="G346" s="160"/>
      <c r="H346" s="160"/>
      <c r="I346" s="160"/>
      <c r="J346" s="160"/>
      <c r="K346" s="160"/>
      <c r="L346" s="160"/>
      <c r="M346" s="160"/>
      <c r="N346" s="181"/>
      <c r="O346" s="181"/>
      <c r="P346" s="181"/>
      <c r="Q346" s="181"/>
      <c r="R346" s="181"/>
      <c r="S346" s="181"/>
      <c r="T346" s="181"/>
      <c r="U346" s="181"/>
    </row>
    <row r="347" spans="2:21">
      <c r="B347" s="193" t="s">
        <v>145</v>
      </c>
      <c r="C347" s="194"/>
      <c r="D347" s="205" t="s">
        <v>351</v>
      </c>
      <c r="E347" s="160"/>
      <c r="F347" s="160"/>
      <c r="G347" s="160"/>
      <c r="H347" s="160"/>
      <c r="I347" s="160"/>
      <c r="J347" s="160"/>
      <c r="K347" s="160"/>
      <c r="L347" s="160"/>
      <c r="M347" s="160"/>
      <c r="N347" s="181"/>
      <c r="O347" s="181"/>
      <c r="P347" s="181"/>
      <c r="Q347" s="181"/>
      <c r="R347" s="181"/>
      <c r="S347" s="181"/>
      <c r="T347" s="181"/>
      <c r="U347" s="181"/>
    </row>
    <row r="348" spans="2:21">
      <c r="B348" s="193"/>
      <c r="C348" s="194"/>
      <c r="D348" s="205"/>
      <c r="E348" s="181"/>
      <c r="F348" s="181"/>
      <c r="G348" s="181"/>
      <c r="H348" s="181"/>
      <c r="I348" s="181"/>
      <c r="J348" s="181"/>
      <c r="K348" s="181"/>
      <c r="L348" s="181"/>
      <c r="M348" s="181"/>
      <c r="N348" s="181"/>
      <c r="O348" s="181"/>
      <c r="P348" s="181"/>
      <c r="Q348" s="181"/>
      <c r="R348" s="181"/>
      <c r="S348" s="181"/>
      <c r="T348" s="181"/>
      <c r="U348" s="181"/>
    </row>
    <row r="349" spans="2:21">
      <c r="B349" s="193" t="s">
        <v>146</v>
      </c>
      <c r="C349" s="194"/>
      <c r="D349" s="205" t="s">
        <v>616</v>
      </c>
      <c r="E349" s="181"/>
      <c r="F349" s="181"/>
      <c r="G349" s="181"/>
      <c r="H349" s="181"/>
      <c r="I349" s="181"/>
      <c r="J349" s="181"/>
      <c r="K349" s="181"/>
      <c r="L349" s="181"/>
      <c r="M349" s="181"/>
      <c r="N349" s="181"/>
      <c r="O349" s="181"/>
      <c r="P349" s="181"/>
      <c r="Q349" s="181"/>
      <c r="R349" s="181"/>
      <c r="S349" s="181"/>
      <c r="T349" s="181"/>
      <c r="U349" s="181"/>
    </row>
    <row r="350" spans="2:21">
      <c r="B350" s="193"/>
      <c r="C350" s="194"/>
      <c r="D350" s="205"/>
      <c r="E350" s="181"/>
      <c r="F350" s="181"/>
      <c r="G350" s="181"/>
      <c r="H350" s="181"/>
      <c r="I350" s="181"/>
      <c r="J350" s="181"/>
      <c r="K350" s="181"/>
      <c r="L350" s="181"/>
      <c r="M350" s="181"/>
      <c r="N350" s="181"/>
      <c r="O350" s="181"/>
      <c r="P350" s="181"/>
      <c r="Q350" s="181"/>
      <c r="R350" s="181"/>
      <c r="S350" s="181"/>
      <c r="T350" s="181"/>
      <c r="U350" s="181"/>
    </row>
    <row r="351" spans="2:21" ht="15.75" customHeight="1">
      <c r="B351" s="412" t="s">
        <v>147</v>
      </c>
      <c r="C351" s="413"/>
      <c r="D351" s="1469" t="str">
        <f>"Long Term Debt cost rate = long-term interest (Ln " &amp; B223 &amp;")/average long term debt (Ln "&amp;B233&amp;").  Preferred Stock cost rate = preferred dividends (Ln "&amp;B224&amp;")/preferred outstanding (ln "&amp;B234&amp;")."</f>
        <v>Long Term Debt cost rate = long-term interest (Ln 128)/average long term debt (Ln 136).  Preferred Stock cost rate = preferred dividends (Ln 129)/preferred outstanding (ln 137).</v>
      </c>
      <c r="E351" s="1469"/>
      <c r="F351" s="1469"/>
      <c r="G351" s="1469"/>
      <c r="H351" s="1469"/>
      <c r="I351" s="1469"/>
      <c r="J351" s="1469"/>
      <c r="M351" s="173"/>
      <c r="N351" s="173"/>
      <c r="O351" s="181"/>
      <c r="P351" s="181"/>
      <c r="Q351" s="181"/>
      <c r="R351" s="181"/>
      <c r="S351" s="181"/>
      <c r="T351" s="181"/>
      <c r="U351" s="181"/>
    </row>
    <row r="352" spans="2:21" ht="15.75">
      <c r="B352" s="413"/>
      <c r="C352" s="413"/>
      <c r="D352" s="1469" t="s">
        <v>811</v>
      </c>
      <c r="E352" s="1469"/>
      <c r="F352" s="1469"/>
      <c r="G352" s="1469"/>
      <c r="H352" s="1469"/>
      <c r="I352" s="1469"/>
      <c r="J352" s="1469"/>
      <c r="M352" s="173"/>
      <c r="N352" s="173"/>
      <c r="O352" s="181"/>
      <c r="P352" s="181"/>
      <c r="Q352" s="181"/>
      <c r="R352" s="181"/>
      <c r="S352" s="181"/>
      <c r="T352" s="181"/>
      <c r="U352" s="181"/>
    </row>
    <row r="353" spans="2:21" ht="15.75">
      <c r="B353" s="413"/>
      <c r="C353" s="413"/>
      <c r="D353" s="1469"/>
      <c r="E353" s="1469"/>
      <c r="F353" s="1469"/>
      <c r="G353" s="1469"/>
      <c r="H353" s="1469"/>
      <c r="I353" s="1469"/>
      <c r="J353" s="1469"/>
      <c r="M353" s="173"/>
      <c r="N353" s="173"/>
      <c r="O353" s="181"/>
      <c r="P353" s="181"/>
      <c r="Q353" s="181"/>
      <c r="R353" s="181"/>
      <c r="S353" s="181"/>
      <c r="T353" s="181"/>
      <c r="U353" s="181"/>
    </row>
    <row r="354" spans="2:21" ht="95.25" customHeight="1">
      <c r="B354" s="413"/>
      <c r="C354" s="413"/>
      <c r="D354" s="1469"/>
      <c r="E354" s="1469"/>
      <c r="F354" s="1469"/>
      <c r="G354" s="1469"/>
      <c r="H354" s="1469"/>
      <c r="I354" s="1469"/>
      <c r="J354" s="1469"/>
      <c r="M354" s="173"/>
      <c r="N354" s="173"/>
      <c r="O354" s="181"/>
      <c r="P354" s="181"/>
      <c r="Q354" s="181"/>
      <c r="R354" s="181"/>
      <c r="S354" s="181"/>
      <c r="T354" s="181"/>
      <c r="U354" s="181"/>
    </row>
    <row r="355" spans="2:21" ht="0.75" hidden="1" customHeight="1">
      <c r="B355" s="413"/>
      <c r="C355" s="413"/>
      <c r="D355" s="1270"/>
      <c r="E355" s="1270"/>
      <c r="F355" s="1270"/>
      <c r="G355" s="1270"/>
      <c r="H355" s="1270"/>
      <c r="I355" s="1270"/>
      <c r="J355" s="1270"/>
      <c r="M355" s="173"/>
      <c r="N355" s="173"/>
      <c r="O355" s="181"/>
      <c r="P355" s="181"/>
      <c r="Q355" s="181"/>
      <c r="R355" s="181"/>
      <c r="S355" s="181"/>
      <c r="T355" s="181"/>
      <c r="U355" s="181"/>
    </row>
    <row r="356" spans="2:21" ht="54.75" hidden="1" customHeight="1">
      <c r="B356" s="413"/>
      <c r="C356" s="413"/>
      <c r="D356" s="1270"/>
      <c r="E356" s="1270"/>
      <c r="F356" s="1270"/>
      <c r="G356" s="1270"/>
      <c r="H356" s="1270"/>
      <c r="I356" s="1270"/>
      <c r="J356" s="1270"/>
      <c r="M356" s="173"/>
      <c r="N356" s="173"/>
      <c r="O356" s="181"/>
      <c r="P356" s="181"/>
      <c r="Q356" s="181"/>
      <c r="R356" s="181"/>
      <c r="S356" s="181"/>
      <c r="T356" s="181"/>
      <c r="U356" s="181"/>
    </row>
    <row r="357" spans="2:21" ht="16.5" customHeight="1">
      <c r="B357" s="413"/>
      <c r="C357" s="413"/>
      <c r="D357" s="1270"/>
      <c r="E357" s="1270"/>
      <c r="F357" s="1270"/>
      <c r="G357" s="1270"/>
      <c r="H357" s="1270"/>
      <c r="I357" s="1270"/>
      <c r="J357" s="1270"/>
      <c r="M357" s="173"/>
      <c r="N357" s="173"/>
      <c r="O357" s="181"/>
      <c r="P357" s="181"/>
      <c r="Q357" s="181"/>
      <c r="R357" s="181"/>
      <c r="S357" s="181"/>
      <c r="T357" s="181"/>
      <c r="U357" s="181"/>
    </row>
    <row r="358" spans="2:21" ht="98.25" customHeight="1">
      <c r="B358" s="193" t="s">
        <v>193</v>
      </c>
      <c r="C358" s="413"/>
      <c r="D358" s="1456" t="s">
        <v>763</v>
      </c>
      <c r="E358" s="1457"/>
      <c r="F358" s="1457"/>
      <c r="G358" s="1457"/>
      <c r="H358" s="1457"/>
      <c r="I358" s="1457"/>
      <c r="J358" s="1457"/>
      <c r="M358" s="181"/>
      <c r="N358" s="181"/>
      <c r="O358" s="181"/>
      <c r="P358" s="181"/>
      <c r="Q358" s="181"/>
      <c r="R358" s="181"/>
      <c r="S358" s="181"/>
      <c r="T358" s="181"/>
      <c r="U358" s="181"/>
    </row>
    <row r="359" spans="2:21" ht="15.75">
      <c r="B359" s="193"/>
      <c r="C359" s="413"/>
      <c r="D359" s="414"/>
      <c r="E359" s="415"/>
      <c r="F359" s="415"/>
      <c r="G359" s="415"/>
      <c r="H359" s="415"/>
      <c r="I359" s="415"/>
      <c r="J359" s="415"/>
      <c r="M359" s="181"/>
      <c r="N359" s="181"/>
      <c r="O359" s="181"/>
      <c r="P359" s="181"/>
      <c r="Q359" s="181"/>
      <c r="R359" s="181"/>
      <c r="S359" s="181"/>
      <c r="T359" s="181"/>
      <c r="U359" s="181"/>
    </row>
    <row r="360" spans="2:21">
      <c r="B360" s="193" t="s">
        <v>551</v>
      </c>
      <c r="C360" s="416"/>
      <c r="D360" s="1455" t="s">
        <v>597</v>
      </c>
      <c r="E360" s="1455"/>
      <c r="F360" s="1455"/>
      <c r="G360" s="1455"/>
      <c r="H360" s="1455"/>
      <c r="I360" s="1455"/>
      <c r="J360" s="1455"/>
      <c r="K360" s="417"/>
      <c r="M360" s="181"/>
      <c r="N360" s="181"/>
      <c r="O360" s="181"/>
      <c r="P360" s="181"/>
      <c r="Q360" s="181"/>
      <c r="R360" s="181"/>
      <c r="S360" s="181"/>
      <c r="T360" s="181"/>
      <c r="U360" s="181"/>
    </row>
    <row r="361" spans="2:21">
      <c r="B361" s="193"/>
      <c r="C361" s="194"/>
      <c r="D361" s="155" t="s">
        <v>406</v>
      </c>
      <c r="M361" s="181"/>
      <c r="N361" s="181"/>
      <c r="O361" s="181"/>
      <c r="P361" s="181"/>
      <c r="Q361" s="181"/>
      <c r="R361" s="181"/>
      <c r="S361" s="181"/>
      <c r="T361" s="181"/>
      <c r="U361" s="181"/>
    </row>
    <row r="362" spans="2:21">
      <c r="B362" s="193" t="s">
        <v>598</v>
      </c>
      <c r="C362" s="194"/>
      <c r="D362" s="155" t="s">
        <v>599</v>
      </c>
      <c r="M362" s="181"/>
      <c r="N362" s="181"/>
      <c r="O362" s="181"/>
      <c r="P362" s="181"/>
      <c r="Q362" s="181"/>
      <c r="R362" s="181"/>
      <c r="S362" s="181"/>
      <c r="T362" s="181"/>
      <c r="U362" s="181"/>
    </row>
    <row r="363" spans="2:21">
      <c r="B363" s="193"/>
      <c r="C363" s="194"/>
      <c r="M363" s="181"/>
      <c r="N363" s="181"/>
      <c r="O363" s="181"/>
      <c r="P363" s="181"/>
      <c r="Q363" s="181"/>
      <c r="R363" s="181"/>
      <c r="S363" s="181"/>
      <c r="T363" s="181"/>
      <c r="U363" s="181"/>
    </row>
    <row r="364" spans="2:21" ht="30" customHeight="1">
      <c r="B364" s="193" t="s">
        <v>600</v>
      </c>
      <c r="C364" s="194"/>
      <c r="D364" s="1455" t="s">
        <v>601</v>
      </c>
      <c r="E364" s="1455"/>
      <c r="F364" s="1455"/>
      <c r="G364" s="1455"/>
      <c r="H364" s="1455"/>
      <c r="I364" s="1455"/>
      <c r="J364" s="1455"/>
      <c r="K364" s="1455"/>
      <c r="M364" s="181"/>
      <c r="N364" s="181"/>
      <c r="O364" s="181"/>
      <c r="P364" s="181"/>
      <c r="Q364" s="181"/>
      <c r="R364" s="181"/>
      <c r="S364" s="181"/>
      <c r="T364" s="181"/>
      <c r="U364" s="181"/>
    </row>
    <row r="365" spans="2:21">
      <c r="B365" s="173"/>
      <c r="C365" s="173"/>
      <c r="D365" s="173"/>
      <c r="E365" s="173"/>
      <c r="F365" s="173"/>
      <c r="G365" s="173"/>
      <c r="H365" s="173"/>
      <c r="M365" s="181"/>
      <c r="N365" s="181"/>
      <c r="O365" s="181"/>
      <c r="P365" s="181"/>
      <c r="Q365" s="181"/>
      <c r="R365" s="181"/>
      <c r="S365" s="181"/>
      <c r="T365" s="181"/>
      <c r="U365" s="181"/>
    </row>
    <row r="366" spans="2:21" ht="46.5" customHeight="1">
      <c r="B366" s="273" t="s">
        <v>602</v>
      </c>
      <c r="C366" s="173"/>
      <c r="D366" s="1455" t="s">
        <v>606</v>
      </c>
      <c r="E366" s="1455"/>
      <c r="F366" s="1455"/>
      <c r="G366" s="1455"/>
      <c r="H366" s="1455"/>
      <c r="I366" s="1455"/>
      <c r="J366" s="1455"/>
      <c r="K366" s="1455"/>
      <c r="M366" s="181"/>
      <c r="N366" s="181"/>
      <c r="O366" s="181"/>
      <c r="P366" s="181"/>
      <c r="Q366" s="181"/>
      <c r="R366" s="181"/>
      <c r="S366" s="181"/>
      <c r="T366" s="181"/>
      <c r="U366" s="181"/>
    </row>
    <row r="367" spans="2:21">
      <c r="B367" s="1238" t="s">
        <v>639</v>
      </c>
      <c r="C367" s="1239"/>
      <c r="D367" s="1240" t="s">
        <v>640</v>
      </c>
      <c r="E367" s="1241"/>
      <c r="F367" s="1241"/>
      <c r="G367" s="1241"/>
      <c r="H367" s="1022"/>
      <c r="M367" s="181"/>
      <c r="N367" s="181"/>
      <c r="O367" s="181"/>
      <c r="P367" s="181"/>
      <c r="Q367" s="181"/>
      <c r="R367" s="181"/>
      <c r="S367" s="181"/>
      <c r="T367" s="181"/>
      <c r="U367" s="181"/>
    </row>
    <row r="368" spans="2:21">
      <c r="B368" s="1316" t="s">
        <v>809</v>
      </c>
      <c r="C368" s="392"/>
      <c r="D368" s="1454" t="s">
        <v>810</v>
      </c>
      <c r="E368" s="1454"/>
      <c r="F368" s="1454"/>
      <c r="G368" s="1454"/>
      <c r="H368" s="1454"/>
      <c r="I368" s="1454"/>
      <c r="J368" s="1454"/>
      <c r="K368" s="1454"/>
      <c r="M368" s="181"/>
      <c r="N368" s="181"/>
      <c r="O368" s="181"/>
      <c r="P368" s="181"/>
      <c r="Q368" s="181"/>
      <c r="R368" s="181"/>
      <c r="S368" s="181"/>
      <c r="T368" s="181"/>
      <c r="U368" s="181"/>
    </row>
    <row r="369" spans="2:21">
      <c r="B369" s="392"/>
      <c r="C369" s="392"/>
      <c r="D369" s="1454"/>
      <c r="E369" s="1454"/>
      <c r="F369" s="1454"/>
      <c r="G369" s="1454"/>
      <c r="H369" s="1454"/>
      <c r="I369" s="1454"/>
      <c r="J369" s="1454"/>
      <c r="K369" s="1454"/>
      <c r="M369" s="181"/>
      <c r="N369" s="181"/>
      <c r="O369" s="181"/>
      <c r="P369" s="181"/>
      <c r="Q369" s="181"/>
      <c r="R369" s="181"/>
      <c r="S369" s="181"/>
      <c r="T369" s="181"/>
      <c r="U369" s="181"/>
    </row>
    <row r="370" spans="2:21">
      <c r="B370" s="155"/>
      <c r="M370" s="181"/>
      <c r="N370" s="181"/>
      <c r="O370" s="181"/>
      <c r="P370" s="181"/>
      <c r="Q370" s="181"/>
      <c r="R370" s="181"/>
      <c r="S370" s="181"/>
      <c r="T370" s="181"/>
      <c r="U370" s="181"/>
    </row>
    <row r="371" spans="2:21">
      <c r="B371" s="155"/>
      <c r="H371" s="181"/>
      <c r="I371" s="181"/>
      <c r="J371" s="181"/>
      <c r="K371" s="181"/>
      <c r="L371" s="181"/>
      <c r="M371" s="181"/>
      <c r="N371" s="181"/>
      <c r="O371" s="181"/>
      <c r="P371" s="181"/>
      <c r="Q371" s="181"/>
      <c r="R371" s="181"/>
      <c r="S371" s="181"/>
      <c r="T371" s="181"/>
      <c r="U371" s="181"/>
    </row>
    <row r="372" spans="2:21">
      <c r="B372" s="155"/>
      <c r="H372" s="181"/>
      <c r="K372" s="181"/>
      <c r="L372" s="181"/>
      <c r="M372" s="181"/>
      <c r="N372" s="181"/>
      <c r="O372" s="181"/>
      <c r="P372" s="181"/>
      <c r="Q372" s="181"/>
      <c r="R372" s="181"/>
      <c r="S372" s="181"/>
      <c r="T372" s="181"/>
      <c r="U372" s="181"/>
    </row>
    <row r="373" spans="2:21">
      <c r="B373" s="399"/>
      <c r="C373" s="160"/>
      <c r="D373" s="160"/>
      <c r="E373" s="160"/>
      <c r="F373" s="160"/>
      <c r="G373" s="160"/>
      <c r="H373" s="160"/>
      <c r="I373" s="160"/>
      <c r="J373" s="160"/>
      <c r="K373" s="160"/>
      <c r="L373" s="160"/>
      <c r="M373" s="160"/>
    </row>
    <row r="374" spans="2:21">
      <c r="B374" s="399"/>
      <c r="C374" s="160"/>
      <c r="D374" s="160"/>
      <c r="E374" s="160"/>
      <c r="F374" s="160"/>
      <c r="G374" s="160"/>
      <c r="H374" s="160"/>
      <c r="I374" s="160"/>
      <c r="J374" s="160"/>
      <c r="K374" s="160"/>
      <c r="L374" s="160"/>
      <c r="M374" s="160"/>
    </row>
    <row r="375" spans="2:21">
      <c r="B375" s="399"/>
      <c r="C375" s="160"/>
      <c r="D375" s="160"/>
      <c r="E375" s="160"/>
      <c r="F375" s="160"/>
      <c r="G375" s="160"/>
      <c r="H375" s="160"/>
      <c r="I375" s="160"/>
      <c r="J375" s="160"/>
      <c r="K375" s="160"/>
      <c r="L375" s="160"/>
      <c r="M375" s="160"/>
    </row>
    <row r="376" spans="2:21">
      <c r="B376" s="399"/>
      <c r="C376" s="160"/>
      <c r="D376" s="160"/>
      <c r="E376" s="160"/>
      <c r="F376" s="160"/>
      <c r="G376" s="160"/>
      <c r="H376" s="160"/>
      <c r="I376" s="160"/>
      <c r="J376" s="160"/>
      <c r="K376" s="160"/>
      <c r="L376" s="160"/>
      <c r="M376" s="160"/>
    </row>
    <row r="377" spans="2:21">
      <c r="B377" s="399"/>
      <c r="C377" s="160"/>
      <c r="D377" s="160"/>
      <c r="E377" s="160"/>
      <c r="F377" s="160"/>
      <c r="G377" s="160"/>
      <c r="H377" s="160"/>
      <c r="I377" s="160"/>
      <c r="J377" s="160"/>
      <c r="K377" s="160"/>
      <c r="L377" s="160"/>
      <c r="M377" s="160"/>
    </row>
    <row r="378" spans="2:21">
      <c r="B378" s="399"/>
      <c r="C378" s="160"/>
      <c r="D378" s="160"/>
      <c r="E378" s="160"/>
      <c r="F378" s="160"/>
      <c r="G378" s="160"/>
      <c r="H378" s="160"/>
      <c r="I378" s="160"/>
      <c r="J378" s="160"/>
      <c r="K378" s="160"/>
      <c r="L378" s="160"/>
      <c r="M378" s="160"/>
    </row>
    <row r="379" spans="2:21">
      <c r="B379" s="399"/>
      <c r="C379" s="160"/>
      <c r="D379" s="160"/>
      <c r="E379" s="160"/>
      <c r="F379" s="160"/>
      <c r="G379" s="160"/>
      <c r="H379" s="160"/>
      <c r="I379" s="160"/>
      <c r="J379" s="160"/>
      <c r="K379" s="160"/>
      <c r="L379" s="160"/>
      <c r="M379" s="160"/>
    </row>
    <row r="380" spans="2:21">
      <c r="B380" s="399"/>
      <c r="C380" s="160"/>
      <c r="D380" s="160"/>
      <c r="E380" s="160"/>
      <c r="F380" s="160"/>
      <c r="G380" s="160"/>
      <c r="H380" s="160"/>
      <c r="I380" s="160"/>
      <c r="J380" s="160"/>
      <c r="K380" s="160"/>
      <c r="L380" s="160"/>
      <c r="M380" s="160"/>
    </row>
    <row r="381" spans="2:21">
      <c r="B381" s="399"/>
      <c r="C381" s="160"/>
      <c r="D381" s="160"/>
      <c r="E381" s="160"/>
      <c r="F381" s="160"/>
      <c r="G381" s="160"/>
      <c r="H381" s="160"/>
      <c r="I381" s="160"/>
      <c r="J381" s="160"/>
      <c r="K381" s="160"/>
      <c r="L381" s="160"/>
      <c r="M381" s="160"/>
    </row>
    <row r="382" spans="2:21">
      <c r="B382" s="399"/>
      <c r="C382" s="160"/>
      <c r="D382" s="160"/>
      <c r="E382" s="160"/>
      <c r="F382" s="160"/>
      <c r="G382" s="160"/>
      <c r="H382" s="160"/>
      <c r="I382" s="160"/>
      <c r="J382" s="160"/>
      <c r="K382" s="160"/>
      <c r="L382" s="160"/>
      <c r="M382" s="160"/>
    </row>
    <row r="383" spans="2:21">
      <c r="B383" s="399"/>
      <c r="C383" s="160"/>
      <c r="D383" s="160"/>
      <c r="E383" s="160"/>
      <c r="F383" s="160"/>
      <c r="G383" s="160"/>
      <c r="H383" s="160"/>
      <c r="I383" s="160"/>
      <c r="J383" s="160"/>
      <c r="K383" s="160"/>
      <c r="L383" s="160"/>
      <c r="M383" s="160"/>
    </row>
    <row r="384" spans="2:21">
      <c r="B384" s="399"/>
      <c r="C384" s="160"/>
      <c r="D384" s="160"/>
      <c r="E384" s="160"/>
      <c r="F384" s="160"/>
      <c r="G384" s="160"/>
      <c r="H384" s="160"/>
      <c r="I384" s="160"/>
      <c r="J384" s="160"/>
      <c r="K384" s="160"/>
      <c r="L384" s="160"/>
      <c r="M384" s="160"/>
    </row>
    <row r="385" spans="2:13">
      <c r="B385" s="399"/>
      <c r="C385" s="160"/>
      <c r="D385" s="160"/>
      <c r="E385" s="160"/>
      <c r="F385" s="160"/>
      <c r="G385" s="160"/>
      <c r="H385" s="160"/>
      <c r="I385" s="160"/>
      <c r="J385" s="160"/>
      <c r="K385" s="160"/>
      <c r="L385" s="160"/>
      <c r="M385" s="160"/>
    </row>
    <row r="386" spans="2:13">
      <c r="B386" s="399"/>
      <c r="C386" s="160"/>
      <c r="D386" s="160"/>
      <c r="E386" s="160"/>
      <c r="F386" s="160"/>
      <c r="G386" s="160"/>
      <c r="H386" s="160"/>
      <c r="I386" s="160"/>
      <c r="J386" s="160"/>
      <c r="K386" s="160"/>
      <c r="L386" s="160"/>
      <c r="M386" s="160"/>
    </row>
    <row r="387" spans="2:13">
      <c r="B387" s="399"/>
      <c r="C387" s="160"/>
      <c r="D387" s="160"/>
      <c r="E387" s="160"/>
      <c r="F387" s="160"/>
      <c r="G387" s="160"/>
      <c r="H387" s="160"/>
      <c r="I387" s="160"/>
      <c r="J387" s="160"/>
      <c r="K387" s="160"/>
      <c r="L387" s="160"/>
      <c r="M387" s="160"/>
    </row>
    <row r="388" spans="2:13">
      <c r="B388" s="399"/>
      <c r="C388" s="160"/>
      <c r="D388" s="160"/>
      <c r="E388" s="160"/>
      <c r="F388" s="160"/>
      <c r="G388" s="160"/>
      <c r="H388" s="160"/>
      <c r="I388" s="160"/>
      <c r="J388" s="160"/>
      <c r="K388" s="160"/>
      <c r="L388" s="160"/>
      <c r="M388" s="160"/>
    </row>
    <row r="389" spans="2:13">
      <c r="B389" s="399"/>
      <c r="C389" s="160"/>
      <c r="D389" s="160"/>
      <c r="E389" s="160"/>
      <c r="F389" s="160"/>
      <c r="G389" s="160"/>
      <c r="H389" s="160"/>
      <c r="I389" s="160"/>
      <c r="J389" s="160"/>
      <c r="K389" s="160"/>
      <c r="L389" s="160"/>
      <c r="M389" s="160"/>
    </row>
    <row r="390" spans="2:13">
      <c r="B390" s="399"/>
      <c r="C390" s="160"/>
      <c r="D390" s="160"/>
      <c r="E390" s="160"/>
      <c r="F390" s="160"/>
      <c r="G390" s="160"/>
      <c r="H390" s="160"/>
      <c r="I390" s="160"/>
      <c r="J390" s="160"/>
      <c r="K390" s="160"/>
      <c r="L390" s="160"/>
      <c r="M390" s="160"/>
    </row>
    <row r="391" spans="2:13">
      <c r="B391" s="399"/>
      <c r="C391" s="160"/>
      <c r="D391" s="160"/>
      <c r="E391" s="160"/>
      <c r="F391" s="160"/>
      <c r="G391" s="160"/>
      <c r="H391" s="160"/>
      <c r="I391" s="160"/>
      <c r="J391" s="160"/>
      <c r="K391" s="160"/>
      <c r="L391" s="160"/>
      <c r="M391" s="160"/>
    </row>
    <row r="392" spans="2:13">
      <c r="B392" s="399"/>
      <c r="C392" s="160"/>
      <c r="D392" s="160"/>
      <c r="E392" s="160"/>
      <c r="F392" s="160"/>
      <c r="G392" s="160"/>
      <c r="H392" s="160"/>
      <c r="I392" s="160"/>
      <c r="J392" s="160"/>
      <c r="K392" s="160"/>
      <c r="L392" s="160"/>
      <c r="M392" s="160"/>
    </row>
    <row r="393" spans="2:13">
      <c r="B393" s="399"/>
      <c r="C393" s="160"/>
      <c r="D393" s="160"/>
      <c r="E393" s="160"/>
      <c r="F393" s="160"/>
      <c r="G393" s="160"/>
      <c r="H393" s="160"/>
      <c r="I393" s="160"/>
      <c r="J393" s="160"/>
      <c r="K393" s="160"/>
      <c r="L393" s="160"/>
      <c r="M393" s="160"/>
    </row>
    <row r="394" spans="2:13">
      <c r="B394" s="399"/>
      <c r="C394" s="160"/>
      <c r="D394" s="160"/>
      <c r="E394" s="160"/>
      <c r="F394" s="160"/>
      <c r="G394" s="160"/>
      <c r="H394" s="160"/>
      <c r="I394" s="160"/>
      <c r="J394" s="160"/>
      <c r="K394" s="160"/>
      <c r="L394" s="160"/>
      <c r="M394" s="160"/>
    </row>
    <row r="395" spans="2:13">
      <c r="B395" s="399"/>
      <c r="C395" s="160"/>
      <c r="D395" s="160"/>
      <c r="E395" s="160"/>
      <c r="F395" s="160"/>
      <c r="G395" s="160"/>
      <c r="H395" s="160"/>
      <c r="I395" s="160"/>
      <c r="J395" s="160"/>
      <c r="K395" s="160"/>
      <c r="L395" s="160"/>
      <c r="M395" s="160"/>
    </row>
    <row r="396" spans="2:13">
      <c r="B396" s="399"/>
      <c r="C396" s="160"/>
      <c r="D396" s="160"/>
      <c r="E396" s="160"/>
      <c r="F396" s="160"/>
      <c r="G396" s="160"/>
      <c r="H396" s="160"/>
      <c r="I396" s="160"/>
      <c r="J396" s="160"/>
      <c r="K396" s="160"/>
      <c r="L396" s="160"/>
      <c r="M396" s="160"/>
    </row>
    <row r="397" spans="2:13">
      <c r="B397" s="399"/>
      <c r="C397" s="160"/>
      <c r="D397" s="160"/>
      <c r="E397" s="160"/>
      <c r="F397" s="160"/>
      <c r="G397" s="160"/>
      <c r="H397" s="160"/>
      <c r="I397" s="160"/>
      <c r="J397" s="160"/>
      <c r="K397" s="160"/>
      <c r="L397" s="160"/>
      <c r="M397" s="160"/>
    </row>
    <row r="398" spans="2:13">
      <c r="B398" s="399"/>
      <c r="C398" s="160"/>
      <c r="D398" s="160"/>
      <c r="E398" s="160"/>
      <c r="F398" s="160"/>
      <c r="G398" s="160"/>
      <c r="H398" s="160"/>
      <c r="I398" s="160"/>
      <c r="J398" s="160"/>
      <c r="K398" s="160"/>
      <c r="L398" s="160"/>
      <c r="M398" s="160"/>
    </row>
    <row r="399" spans="2:13">
      <c r="B399" s="399"/>
      <c r="C399" s="160"/>
      <c r="D399" s="160"/>
      <c r="E399" s="160"/>
      <c r="F399" s="160"/>
      <c r="G399" s="160"/>
      <c r="H399" s="160"/>
      <c r="I399" s="160"/>
      <c r="J399" s="160"/>
      <c r="K399" s="160"/>
      <c r="L399" s="160"/>
      <c r="M399" s="160"/>
    </row>
    <row r="400" spans="2:13">
      <c r="B400" s="399"/>
      <c r="C400" s="160"/>
      <c r="D400" s="160"/>
      <c r="E400" s="160"/>
      <c r="F400" s="160"/>
      <c r="G400" s="160"/>
      <c r="H400" s="160"/>
      <c r="I400" s="160"/>
      <c r="J400" s="160"/>
      <c r="K400" s="160"/>
      <c r="L400" s="160"/>
      <c r="M400" s="160"/>
    </row>
    <row r="401" spans="2:13">
      <c r="B401" s="399"/>
      <c r="C401" s="160"/>
      <c r="D401" s="160"/>
      <c r="E401" s="160"/>
      <c r="F401" s="160"/>
      <c r="G401" s="160"/>
      <c r="H401" s="160"/>
      <c r="I401" s="160"/>
      <c r="J401" s="160"/>
      <c r="K401" s="160"/>
      <c r="L401" s="160"/>
      <c r="M401" s="160"/>
    </row>
    <row r="402" spans="2:13">
      <c r="B402" s="399"/>
      <c r="C402" s="160"/>
      <c r="D402" s="160"/>
      <c r="E402" s="160"/>
      <c r="F402" s="160"/>
      <c r="G402" s="160"/>
      <c r="H402" s="160"/>
      <c r="I402" s="160"/>
      <c r="J402" s="160"/>
      <c r="K402" s="160"/>
      <c r="L402" s="160"/>
      <c r="M402" s="160"/>
    </row>
    <row r="403" spans="2:13">
      <c r="B403" s="399"/>
      <c r="C403" s="160"/>
      <c r="D403" s="160"/>
      <c r="E403" s="160"/>
      <c r="F403" s="160"/>
      <c r="G403" s="160"/>
      <c r="H403" s="160"/>
      <c r="I403" s="160"/>
      <c r="J403" s="160"/>
      <c r="K403" s="160"/>
      <c r="L403" s="160"/>
      <c r="M403" s="160"/>
    </row>
    <row r="404" spans="2:13">
      <c r="B404" s="399"/>
      <c r="C404" s="160"/>
      <c r="D404" s="160"/>
      <c r="E404" s="160"/>
      <c r="F404" s="160"/>
      <c r="G404" s="160"/>
      <c r="H404" s="160"/>
      <c r="I404" s="160"/>
      <c r="J404" s="160"/>
      <c r="K404" s="160"/>
      <c r="L404" s="160"/>
      <c r="M404" s="160"/>
    </row>
    <row r="405" spans="2:13">
      <c r="B405" s="399"/>
      <c r="C405" s="160"/>
      <c r="D405" s="160"/>
      <c r="E405" s="160"/>
      <c r="F405" s="160"/>
      <c r="G405" s="160"/>
      <c r="H405" s="160"/>
      <c r="I405" s="160"/>
      <c r="J405" s="160"/>
      <c r="K405" s="160"/>
      <c r="L405" s="160"/>
      <c r="M405" s="160"/>
    </row>
    <row r="406" spans="2:13">
      <c r="B406" s="399"/>
      <c r="C406" s="160"/>
      <c r="D406" s="160"/>
      <c r="E406" s="160"/>
      <c r="F406" s="160"/>
      <c r="G406" s="160"/>
      <c r="H406" s="160"/>
      <c r="I406" s="160"/>
      <c r="J406" s="160"/>
      <c r="K406" s="160"/>
      <c r="L406" s="160"/>
      <c r="M406" s="160"/>
    </row>
    <row r="407" spans="2:13">
      <c r="B407" s="399"/>
      <c r="C407" s="160"/>
      <c r="D407" s="160"/>
      <c r="E407" s="160"/>
      <c r="F407" s="160"/>
      <c r="G407" s="160"/>
      <c r="H407" s="160"/>
      <c r="I407" s="160"/>
      <c r="J407" s="160"/>
      <c r="K407" s="160"/>
      <c r="L407" s="160"/>
      <c r="M407" s="160"/>
    </row>
    <row r="408" spans="2:13">
      <c r="B408" s="399"/>
      <c r="C408" s="160"/>
      <c r="D408" s="160"/>
      <c r="E408" s="160"/>
      <c r="F408" s="160"/>
      <c r="G408" s="160"/>
      <c r="H408" s="160"/>
      <c r="I408" s="160"/>
      <c r="J408" s="160"/>
      <c r="K408" s="160"/>
      <c r="L408" s="160"/>
      <c r="M408" s="160"/>
    </row>
    <row r="409" spans="2:13">
      <c r="B409" s="399"/>
      <c r="C409" s="160"/>
      <c r="D409" s="160"/>
      <c r="E409" s="160"/>
      <c r="F409" s="160"/>
      <c r="G409" s="160"/>
      <c r="H409" s="160"/>
      <c r="I409" s="160"/>
      <c r="J409" s="160"/>
      <c r="K409" s="160"/>
      <c r="L409" s="160"/>
      <c r="M409" s="160"/>
    </row>
    <row r="410" spans="2:13">
      <c r="B410" s="399"/>
      <c r="C410" s="160"/>
      <c r="D410" s="160"/>
      <c r="E410" s="160"/>
      <c r="F410" s="160"/>
      <c r="G410" s="160"/>
      <c r="H410" s="160"/>
      <c r="I410" s="160"/>
      <c r="J410" s="160"/>
      <c r="K410" s="160"/>
      <c r="L410" s="160"/>
      <c r="M410" s="160"/>
    </row>
    <row r="411" spans="2:13">
      <c r="B411" s="399"/>
      <c r="C411" s="160"/>
      <c r="D411" s="160"/>
      <c r="E411" s="160"/>
      <c r="F411" s="160"/>
      <c r="G411" s="160"/>
      <c r="H411" s="160"/>
      <c r="I411" s="160"/>
      <c r="J411" s="160"/>
      <c r="K411" s="160"/>
      <c r="L411" s="160"/>
      <c r="M411" s="160"/>
    </row>
    <row r="412" spans="2:13">
      <c r="B412" s="399"/>
      <c r="C412" s="160"/>
      <c r="D412" s="160"/>
      <c r="E412" s="160"/>
      <c r="F412" s="160"/>
      <c r="G412" s="160"/>
      <c r="H412" s="160"/>
      <c r="I412" s="160"/>
      <c r="J412" s="160"/>
      <c r="K412" s="160"/>
      <c r="L412" s="160"/>
      <c r="M412" s="160"/>
    </row>
    <row r="413" spans="2:13">
      <c r="B413" s="399"/>
      <c r="C413" s="160"/>
      <c r="D413" s="160"/>
      <c r="E413" s="160"/>
      <c r="F413" s="160"/>
      <c r="G413" s="160"/>
      <c r="H413" s="160"/>
      <c r="I413" s="160"/>
      <c r="J413" s="160"/>
      <c r="K413" s="160"/>
      <c r="L413" s="160"/>
      <c r="M413" s="160"/>
    </row>
    <row r="414" spans="2:13">
      <c r="B414" s="399"/>
      <c r="C414" s="160"/>
      <c r="D414" s="160"/>
      <c r="E414" s="160"/>
      <c r="F414" s="160"/>
      <c r="G414" s="160"/>
      <c r="H414" s="160"/>
      <c r="I414" s="160"/>
      <c r="J414" s="160"/>
      <c r="K414" s="160"/>
      <c r="L414" s="160"/>
      <c r="M414" s="160"/>
    </row>
    <row r="415" spans="2:13">
      <c r="B415" s="399"/>
      <c r="C415" s="160"/>
      <c r="D415" s="160"/>
      <c r="E415" s="160"/>
      <c r="F415" s="160"/>
      <c r="G415" s="160"/>
      <c r="H415" s="160"/>
      <c r="I415" s="160"/>
      <c r="J415" s="160"/>
      <c r="K415" s="160"/>
      <c r="L415" s="160"/>
      <c r="M415" s="160"/>
    </row>
    <row r="416" spans="2:13">
      <c r="B416" s="399"/>
      <c r="C416" s="160"/>
      <c r="D416" s="160"/>
      <c r="E416" s="160"/>
      <c r="F416" s="160"/>
      <c r="G416" s="160"/>
      <c r="H416" s="160"/>
      <c r="I416" s="160"/>
      <c r="J416" s="160"/>
      <c r="K416" s="160"/>
      <c r="L416" s="160"/>
      <c r="M416" s="160"/>
    </row>
    <row r="417" spans="2:13">
      <c r="B417" s="399"/>
      <c r="C417" s="160"/>
      <c r="D417" s="160"/>
      <c r="E417" s="160"/>
      <c r="F417" s="160"/>
      <c r="G417" s="160"/>
      <c r="H417" s="160"/>
      <c r="I417" s="160"/>
      <c r="J417" s="160"/>
      <c r="K417" s="160"/>
      <c r="L417" s="160"/>
      <c r="M417" s="160"/>
    </row>
    <row r="418" spans="2:13">
      <c r="B418" s="399"/>
      <c r="C418" s="160"/>
      <c r="D418" s="160"/>
      <c r="E418" s="160"/>
      <c r="F418" s="160"/>
      <c r="G418" s="160"/>
      <c r="H418" s="160"/>
      <c r="I418" s="160"/>
      <c r="J418" s="160"/>
      <c r="K418" s="160"/>
      <c r="L418" s="160"/>
      <c r="M418" s="160"/>
    </row>
    <row r="419" spans="2:13">
      <c r="B419" s="399"/>
      <c r="C419" s="160"/>
      <c r="D419" s="160"/>
      <c r="E419" s="160"/>
      <c r="F419" s="160"/>
      <c r="G419" s="160"/>
      <c r="H419" s="160"/>
      <c r="I419" s="160"/>
      <c r="J419" s="160"/>
      <c r="K419" s="160"/>
      <c r="L419" s="160"/>
      <c r="M419" s="160"/>
    </row>
    <row r="420" spans="2:13">
      <c r="B420" s="399"/>
      <c r="C420" s="160"/>
      <c r="D420" s="160"/>
      <c r="E420" s="160"/>
      <c r="F420" s="160"/>
      <c r="G420" s="160"/>
      <c r="H420" s="160"/>
      <c r="I420" s="160"/>
      <c r="J420" s="160"/>
      <c r="K420" s="160"/>
      <c r="L420" s="160"/>
      <c r="M420" s="160"/>
    </row>
    <row r="421" spans="2:13">
      <c r="B421" s="399"/>
      <c r="C421" s="160"/>
      <c r="D421" s="160"/>
      <c r="E421" s="160"/>
      <c r="F421" s="160"/>
      <c r="G421" s="160"/>
      <c r="H421" s="160"/>
      <c r="I421" s="160"/>
      <c r="J421" s="160"/>
      <c r="K421" s="160"/>
      <c r="L421" s="160"/>
      <c r="M421" s="160"/>
    </row>
    <row r="422" spans="2:13">
      <c r="B422" s="399"/>
      <c r="C422" s="160"/>
      <c r="D422" s="160"/>
      <c r="E422" s="160"/>
      <c r="F422" s="160"/>
      <c r="G422" s="160"/>
      <c r="H422" s="160"/>
      <c r="I422" s="160"/>
      <c r="J422" s="160"/>
      <c r="K422" s="160"/>
      <c r="L422" s="160"/>
      <c r="M422" s="160"/>
    </row>
    <row r="423" spans="2:13">
      <c r="B423" s="399"/>
      <c r="C423" s="160"/>
      <c r="D423" s="160"/>
      <c r="E423" s="160"/>
      <c r="F423" s="160"/>
      <c r="G423" s="160"/>
      <c r="H423" s="160"/>
      <c r="I423" s="160"/>
      <c r="J423" s="160"/>
      <c r="K423" s="160"/>
      <c r="L423" s="160"/>
      <c r="M423" s="160"/>
    </row>
    <row r="424" spans="2:13">
      <c r="B424" s="399"/>
      <c r="C424" s="160"/>
      <c r="D424" s="160"/>
      <c r="E424" s="160"/>
      <c r="F424" s="160"/>
      <c r="G424" s="160"/>
      <c r="H424" s="160"/>
      <c r="I424" s="160"/>
      <c r="J424" s="160"/>
      <c r="K424" s="160"/>
      <c r="L424" s="160"/>
      <c r="M424" s="160"/>
    </row>
    <row r="425" spans="2:13">
      <c r="B425" s="399"/>
      <c r="C425" s="160"/>
      <c r="D425" s="160"/>
      <c r="E425" s="160"/>
      <c r="F425" s="160"/>
      <c r="G425" s="160"/>
      <c r="H425" s="160"/>
      <c r="I425" s="160"/>
      <c r="J425" s="160"/>
      <c r="K425" s="160"/>
      <c r="L425" s="160"/>
      <c r="M425" s="160"/>
    </row>
    <row r="426" spans="2:13">
      <c r="B426" s="399"/>
      <c r="C426" s="160"/>
      <c r="D426" s="160"/>
      <c r="E426" s="160"/>
      <c r="F426" s="160"/>
      <c r="G426" s="160"/>
      <c r="H426" s="160"/>
      <c r="I426" s="160"/>
      <c r="J426" s="160"/>
      <c r="K426" s="160"/>
      <c r="L426" s="160"/>
      <c r="M426" s="160"/>
    </row>
    <row r="427" spans="2:13">
      <c r="B427" s="399"/>
      <c r="C427" s="160"/>
      <c r="D427" s="160"/>
      <c r="E427" s="160"/>
      <c r="F427" s="160"/>
      <c r="G427" s="160"/>
      <c r="H427" s="160"/>
      <c r="I427" s="160"/>
      <c r="J427" s="160"/>
      <c r="K427" s="160"/>
      <c r="L427" s="160"/>
      <c r="M427" s="160"/>
    </row>
    <row r="428" spans="2:13">
      <c r="B428" s="399"/>
      <c r="C428" s="160"/>
      <c r="D428" s="160"/>
      <c r="E428" s="160"/>
      <c r="F428" s="160"/>
      <c r="G428" s="160"/>
      <c r="H428" s="160"/>
      <c r="I428" s="160"/>
      <c r="J428" s="160"/>
      <c r="K428" s="160"/>
      <c r="L428" s="160"/>
      <c r="M428" s="160"/>
    </row>
    <row r="429" spans="2:13">
      <c r="B429" s="399"/>
      <c r="C429" s="160"/>
      <c r="D429" s="160"/>
      <c r="E429" s="160"/>
      <c r="F429" s="160"/>
      <c r="G429" s="160"/>
      <c r="H429" s="160"/>
      <c r="I429" s="160"/>
      <c r="J429" s="160"/>
      <c r="K429" s="160"/>
      <c r="L429" s="160"/>
      <c r="M429" s="160"/>
    </row>
    <row r="430" spans="2:13">
      <c r="B430" s="399"/>
      <c r="C430" s="160"/>
      <c r="D430" s="160"/>
      <c r="E430" s="160"/>
      <c r="F430" s="160"/>
      <c r="G430" s="160"/>
      <c r="H430" s="160"/>
      <c r="I430" s="160"/>
      <c r="J430" s="160"/>
      <c r="K430" s="160"/>
      <c r="L430" s="160"/>
      <c r="M430" s="160"/>
    </row>
    <row r="431" spans="2:13">
      <c r="B431" s="399"/>
      <c r="C431" s="160"/>
      <c r="D431" s="160"/>
      <c r="E431" s="160"/>
      <c r="F431" s="160"/>
      <c r="G431" s="160"/>
      <c r="H431" s="160"/>
      <c r="I431" s="160"/>
      <c r="J431" s="160"/>
      <c r="K431" s="160"/>
      <c r="L431" s="160"/>
      <c r="M431" s="160"/>
    </row>
    <row r="432" spans="2:13">
      <c r="B432" s="399"/>
      <c r="C432" s="160"/>
      <c r="D432" s="160"/>
      <c r="E432" s="160"/>
      <c r="F432" s="160"/>
      <c r="G432" s="160"/>
      <c r="H432" s="160"/>
      <c r="I432" s="160"/>
      <c r="J432" s="160"/>
      <c r="K432" s="160"/>
      <c r="L432" s="160"/>
      <c r="M432" s="160"/>
    </row>
    <row r="433" spans="2:13">
      <c r="B433" s="399"/>
      <c r="C433" s="160"/>
      <c r="D433" s="160"/>
      <c r="E433" s="160"/>
      <c r="F433" s="160"/>
      <c r="G433" s="160"/>
      <c r="H433" s="160"/>
      <c r="I433" s="160"/>
      <c r="J433" s="160"/>
      <c r="K433" s="160"/>
      <c r="L433" s="160"/>
      <c r="M433" s="160"/>
    </row>
    <row r="434" spans="2:13">
      <c r="B434" s="399"/>
      <c r="C434" s="160"/>
      <c r="D434" s="160"/>
      <c r="E434" s="160"/>
      <c r="F434" s="160"/>
      <c r="G434" s="160"/>
      <c r="H434" s="160"/>
      <c r="I434" s="160"/>
      <c r="J434" s="160"/>
      <c r="K434" s="160"/>
      <c r="L434" s="160"/>
      <c r="M434" s="160"/>
    </row>
    <row r="435" spans="2:13">
      <c r="B435" s="399"/>
      <c r="C435" s="160"/>
      <c r="D435" s="160"/>
      <c r="E435" s="160"/>
      <c r="F435" s="160"/>
      <c r="G435" s="160"/>
      <c r="H435" s="160"/>
      <c r="I435" s="160"/>
      <c r="J435" s="160"/>
      <c r="K435" s="160"/>
      <c r="L435" s="160"/>
      <c r="M435" s="160"/>
    </row>
    <row r="436" spans="2:13">
      <c r="B436" s="399"/>
      <c r="C436" s="160"/>
      <c r="D436" s="160"/>
      <c r="E436" s="160"/>
      <c r="F436" s="160"/>
      <c r="G436" s="160"/>
      <c r="H436" s="160"/>
      <c r="I436" s="160"/>
      <c r="J436" s="160"/>
      <c r="K436" s="160"/>
      <c r="L436" s="160"/>
      <c r="M436" s="160"/>
    </row>
    <row r="437" spans="2:13">
      <c r="B437" s="399"/>
      <c r="C437" s="160"/>
      <c r="D437" s="160"/>
      <c r="E437" s="160"/>
      <c r="F437" s="160"/>
      <c r="G437" s="160"/>
      <c r="H437" s="160"/>
      <c r="I437" s="160"/>
      <c r="J437" s="160"/>
      <c r="K437" s="160"/>
      <c r="L437" s="160"/>
      <c r="M437" s="160"/>
    </row>
    <row r="438" spans="2:13">
      <c r="B438" s="399"/>
      <c r="C438" s="160"/>
      <c r="D438" s="160"/>
      <c r="E438" s="160"/>
      <c r="F438" s="160"/>
      <c r="G438" s="160"/>
      <c r="H438" s="160"/>
      <c r="I438" s="160"/>
      <c r="J438" s="160"/>
      <c r="K438" s="160"/>
      <c r="L438" s="160"/>
      <c r="M438" s="160"/>
    </row>
    <row r="439" spans="2:13">
      <c r="B439" s="399"/>
      <c r="C439" s="160"/>
      <c r="D439" s="160"/>
      <c r="E439" s="160"/>
      <c r="F439" s="160"/>
      <c r="G439" s="160"/>
      <c r="H439" s="160"/>
      <c r="I439" s="160"/>
      <c r="J439" s="160"/>
      <c r="K439" s="160"/>
      <c r="L439" s="160"/>
      <c r="M439" s="160"/>
    </row>
    <row r="440" spans="2:13">
      <c r="B440" s="399"/>
      <c r="C440" s="160"/>
      <c r="D440" s="160"/>
      <c r="E440" s="160"/>
      <c r="F440" s="160"/>
      <c r="G440" s="160"/>
      <c r="H440" s="160"/>
      <c r="I440" s="160"/>
      <c r="J440" s="160"/>
      <c r="K440" s="160"/>
      <c r="L440" s="160"/>
      <c r="M440" s="160"/>
    </row>
    <row r="441" spans="2:13">
      <c r="B441" s="399"/>
      <c r="C441" s="160"/>
      <c r="D441" s="160"/>
      <c r="E441" s="160"/>
      <c r="F441" s="160"/>
      <c r="G441" s="160"/>
      <c r="H441" s="160"/>
      <c r="I441" s="160"/>
      <c r="J441" s="160"/>
      <c r="K441" s="160"/>
      <c r="L441" s="160"/>
      <c r="M441" s="160"/>
    </row>
    <row r="442" spans="2:13">
      <c r="B442" s="399"/>
      <c r="C442" s="160"/>
      <c r="D442" s="160"/>
      <c r="E442" s="160"/>
      <c r="F442" s="160"/>
      <c r="G442" s="160"/>
      <c r="H442" s="160"/>
      <c r="I442" s="160"/>
      <c r="J442" s="160"/>
      <c r="K442" s="160"/>
      <c r="L442" s="160"/>
      <c r="M442" s="160"/>
    </row>
    <row r="443" spans="2:13">
      <c r="B443" s="399"/>
      <c r="C443" s="160"/>
      <c r="D443" s="160"/>
      <c r="E443" s="160"/>
      <c r="F443" s="160"/>
      <c r="G443" s="160"/>
      <c r="H443" s="160"/>
      <c r="I443" s="160"/>
      <c r="J443" s="160"/>
      <c r="K443" s="160"/>
      <c r="L443" s="160"/>
      <c r="M443" s="160"/>
    </row>
    <row r="444" spans="2:13">
      <c r="B444" s="399"/>
      <c r="C444" s="160"/>
      <c r="D444" s="160"/>
      <c r="E444" s="160"/>
      <c r="F444" s="160"/>
      <c r="G444" s="160"/>
      <c r="H444" s="160"/>
      <c r="I444" s="160"/>
      <c r="J444" s="160"/>
      <c r="K444" s="160"/>
      <c r="L444" s="160"/>
      <c r="M444" s="160"/>
    </row>
    <row r="445" spans="2:13">
      <c r="B445" s="399"/>
      <c r="C445" s="160"/>
      <c r="D445" s="160"/>
      <c r="E445" s="160"/>
      <c r="F445" s="160"/>
      <c r="G445" s="160"/>
      <c r="H445" s="160"/>
      <c r="I445" s="160"/>
      <c r="J445" s="160"/>
      <c r="K445" s="160"/>
      <c r="L445" s="160"/>
      <c r="M445" s="160"/>
    </row>
    <row r="446" spans="2:13">
      <c r="B446" s="399"/>
      <c r="C446" s="160"/>
      <c r="D446" s="160"/>
      <c r="E446" s="160"/>
      <c r="F446" s="160"/>
      <c r="G446" s="160"/>
      <c r="H446" s="160"/>
      <c r="I446" s="160"/>
      <c r="J446" s="160"/>
      <c r="K446" s="160"/>
      <c r="L446" s="160"/>
      <c r="M446" s="160"/>
    </row>
    <row r="447" spans="2:13">
      <c r="B447" s="399"/>
      <c r="C447" s="160"/>
      <c r="D447" s="160"/>
      <c r="E447" s="160"/>
      <c r="F447" s="160"/>
      <c r="G447" s="160"/>
      <c r="H447" s="160"/>
      <c r="I447" s="160"/>
      <c r="J447" s="160"/>
      <c r="K447" s="160"/>
      <c r="L447" s="160"/>
      <c r="M447" s="160"/>
    </row>
    <row r="448" spans="2:13">
      <c r="B448" s="399"/>
      <c r="C448" s="160"/>
      <c r="D448" s="160"/>
      <c r="E448" s="160"/>
      <c r="F448" s="160"/>
      <c r="G448" s="160"/>
      <c r="H448" s="160"/>
      <c r="I448" s="160"/>
      <c r="J448" s="160"/>
      <c r="K448" s="160"/>
      <c r="L448" s="160"/>
      <c r="M448" s="160"/>
    </row>
    <row r="449" spans="2:13">
      <c r="B449" s="399"/>
      <c r="C449" s="160"/>
      <c r="D449" s="160"/>
      <c r="E449" s="160"/>
      <c r="F449" s="160"/>
      <c r="G449" s="160"/>
      <c r="H449" s="160"/>
      <c r="I449" s="160"/>
      <c r="J449" s="160"/>
      <c r="K449" s="160"/>
      <c r="L449" s="160"/>
      <c r="M449" s="160"/>
    </row>
    <row r="450" spans="2:13">
      <c r="B450" s="399"/>
      <c r="C450" s="160"/>
      <c r="D450" s="160"/>
      <c r="E450" s="160"/>
      <c r="F450" s="160"/>
      <c r="G450" s="160"/>
      <c r="H450" s="160"/>
      <c r="I450" s="160"/>
      <c r="J450" s="160"/>
      <c r="K450" s="160"/>
      <c r="L450" s="160"/>
      <c r="M450" s="160"/>
    </row>
    <row r="451" spans="2:13">
      <c r="B451" s="399"/>
      <c r="C451" s="160"/>
      <c r="D451" s="160"/>
      <c r="E451" s="160"/>
      <c r="F451" s="160"/>
      <c r="G451" s="160"/>
      <c r="H451" s="160"/>
      <c r="I451" s="160"/>
      <c r="J451" s="160"/>
      <c r="K451" s="160"/>
      <c r="L451" s="160"/>
      <c r="M451" s="160"/>
    </row>
    <row r="452" spans="2:13">
      <c r="B452" s="399"/>
      <c r="C452" s="160"/>
      <c r="D452" s="160"/>
      <c r="E452" s="160"/>
      <c r="F452" s="160"/>
      <c r="G452" s="160"/>
      <c r="H452" s="160"/>
      <c r="I452" s="160"/>
      <c r="J452" s="160"/>
      <c r="K452" s="160"/>
      <c r="L452" s="160"/>
      <c r="M452" s="160"/>
    </row>
    <row r="453" spans="2:13">
      <c r="B453" s="399"/>
      <c r="C453" s="160"/>
      <c r="D453" s="160"/>
      <c r="E453" s="160"/>
      <c r="F453" s="160"/>
      <c r="G453" s="160"/>
      <c r="H453" s="160"/>
      <c r="I453" s="160"/>
      <c r="J453" s="160"/>
      <c r="K453" s="160"/>
      <c r="L453" s="160"/>
      <c r="M453" s="160"/>
    </row>
    <row r="454" spans="2:13">
      <c r="B454" s="399"/>
      <c r="C454" s="160"/>
      <c r="D454" s="160"/>
      <c r="E454" s="160"/>
      <c r="F454" s="160"/>
      <c r="G454" s="160"/>
      <c r="H454" s="160"/>
      <c r="I454" s="160"/>
      <c r="J454" s="160"/>
      <c r="K454" s="160"/>
      <c r="L454" s="160"/>
      <c r="M454" s="160"/>
    </row>
    <row r="455" spans="2:13">
      <c r="B455" s="399"/>
      <c r="C455" s="160"/>
      <c r="D455" s="160"/>
      <c r="E455" s="160"/>
      <c r="F455" s="160"/>
      <c r="G455" s="160"/>
      <c r="H455" s="160"/>
      <c r="I455" s="160"/>
      <c r="J455" s="160"/>
      <c r="K455" s="160"/>
      <c r="L455" s="160"/>
      <c r="M455" s="160"/>
    </row>
    <row r="456" spans="2:13">
      <c r="B456" s="399"/>
      <c r="C456" s="160"/>
      <c r="D456" s="160"/>
      <c r="E456" s="160"/>
      <c r="F456" s="160"/>
      <c r="G456" s="160"/>
      <c r="H456" s="160"/>
      <c r="I456" s="160"/>
      <c r="J456" s="160"/>
      <c r="K456" s="160"/>
      <c r="L456" s="160"/>
      <c r="M456" s="160"/>
    </row>
    <row r="457" spans="2:13">
      <c r="B457" s="399"/>
      <c r="C457" s="160"/>
      <c r="D457" s="160"/>
      <c r="E457" s="160"/>
      <c r="F457" s="160"/>
      <c r="G457" s="160"/>
      <c r="H457" s="160"/>
      <c r="I457" s="160"/>
      <c r="J457" s="160"/>
      <c r="K457" s="160"/>
      <c r="L457" s="160"/>
      <c r="M457" s="160"/>
    </row>
    <row r="458" spans="2:13">
      <c r="B458" s="399"/>
      <c r="C458" s="160"/>
      <c r="D458" s="160"/>
      <c r="E458" s="160"/>
      <c r="F458" s="160"/>
      <c r="G458" s="160"/>
      <c r="H458" s="160"/>
      <c r="I458" s="160"/>
      <c r="J458" s="160"/>
      <c r="K458" s="160"/>
      <c r="L458" s="160"/>
      <c r="M458" s="160"/>
    </row>
    <row r="459" spans="2:13">
      <c r="B459" s="399"/>
      <c r="C459" s="160"/>
      <c r="D459" s="160"/>
      <c r="E459" s="160"/>
      <c r="F459" s="160"/>
      <c r="G459" s="160"/>
      <c r="H459" s="160"/>
      <c r="I459" s="160"/>
      <c r="J459" s="160"/>
      <c r="K459" s="160"/>
      <c r="L459" s="160"/>
      <c r="M459" s="160"/>
    </row>
    <row r="460" spans="2:13">
      <c r="B460" s="399"/>
      <c r="C460" s="160"/>
      <c r="D460" s="160"/>
      <c r="E460" s="160"/>
      <c r="F460" s="160"/>
      <c r="G460" s="160"/>
      <c r="H460" s="160"/>
      <c r="I460" s="160"/>
      <c r="J460" s="160"/>
      <c r="K460" s="160"/>
      <c r="L460" s="160"/>
      <c r="M460" s="160"/>
    </row>
    <row r="461" spans="2:13">
      <c r="B461" s="399"/>
      <c r="C461" s="160"/>
      <c r="D461" s="160"/>
      <c r="E461" s="160"/>
      <c r="F461" s="160"/>
      <c r="G461" s="160"/>
      <c r="H461" s="160"/>
      <c r="I461" s="160"/>
      <c r="J461" s="160"/>
      <c r="K461" s="160"/>
      <c r="L461" s="160"/>
      <c r="M461" s="160"/>
    </row>
    <row r="462" spans="2:13">
      <c r="B462" s="399"/>
      <c r="C462" s="160"/>
      <c r="D462" s="160"/>
      <c r="E462" s="160"/>
      <c r="F462" s="160"/>
      <c r="G462" s="160"/>
      <c r="H462" s="160"/>
      <c r="I462" s="160"/>
      <c r="J462" s="160"/>
      <c r="K462" s="160"/>
      <c r="L462" s="160"/>
      <c r="M462" s="160"/>
    </row>
    <row r="463" spans="2:13">
      <c r="B463" s="399"/>
      <c r="C463" s="160"/>
      <c r="D463" s="160"/>
      <c r="E463" s="160"/>
      <c r="F463" s="160"/>
      <c r="G463" s="160"/>
      <c r="H463" s="160"/>
      <c r="I463" s="160"/>
      <c r="J463" s="160"/>
      <c r="K463" s="160"/>
      <c r="L463" s="160"/>
      <c r="M463" s="160"/>
    </row>
    <row r="464" spans="2:13">
      <c r="B464" s="399"/>
      <c r="C464" s="160"/>
      <c r="D464" s="160"/>
      <c r="E464" s="160"/>
      <c r="F464" s="160"/>
      <c r="G464" s="160"/>
      <c r="H464" s="160"/>
      <c r="I464" s="160"/>
      <c r="J464" s="160"/>
      <c r="K464" s="160"/>
      <c r="L464" s="160"/>
      <c r="M464" s="160"/>
    </row>
    <row r="465" spans="2:13">
      <c r="B465" s="399"/>
      <c r="C465" s="160"/>
      <c r="D465" s="160"/>
      <c r="E465" s="160"/>
      <c r="F465" s="160"/>
      <c r="G465" s="160"/>
      <c r="H465" s="160"/>
      <c r="I465" s="160"/>
      <c r="J465" s="160"/>
      <c r="K465" s="160"/>
      <c r="L465" s="160"/>
      <c r="M465" s="160"/>
    </row>
    <row r="466" spans="2:13">
      <c r="B466" s="399"/>
      <c r="C466" s="160"/>
      <c r="D466" s="160"/>
      <c r="E466" s="160"/>
      <c r="F466" s="160"/>
      <c r="G466" s="160"/>
      <c r="H466" s="160"/>
      <c r="I466" s="160"/>
      <c r="J466" s="160"/>
      <c r="K466" s="160"/>
      <c r="L466" s="160"/>
      <c r="M466" s="160"/>
    </row>
    <row r="467" spans="2:13">
      <c r="B467" s="399"/>
      <c r="C467" s="160"/>
      <c r="D467" s="160"/>
      <c r="E467" s="160"/>
      <c r="F467" s="160"/>
      <c r="G467" s="160"/>
      <c r="H467" s="160"/>
      <c r="I467" s="160"/>
      <c r="J467" s="160"/>
      <c r="K467" s="160"/>
      <c r="L467" s="160"/>
      <c r="M467" s="160"/>
    </row>
    <row r="468" spans="2:13">
      <c r="B468" s="399"/>
      <c r="C468" s="160"/>
      <c r="D468" s="160"/>
      <c r="E468" s="160"/>
      <c r="F468" s="160"/>
      <c r="G468" s="160"/>
      <c r="H468" s="160"/>
      <c r="I468" s="160"/>
      <c r="J468" s="160"/>
      <c r="K468" s="160"/>
      <c r="L468" s="160"/>
      <c r="M468" s="160"/>
    </row>
    <row r="469" spans="2:13">
      <c r="B469" s="399"/>
      <c r="C469" s="160"/>
      <c r="D469" s="160"/>
      <c r="E469" s="160"/>
      <c r="F469" s="160"/>
      <c r="G469" s="160"/>
      <c r="H469" s="160"/>
      <c r="I469" s="160"/>
      <c r="J469" s="160"/>
      <c r="K469" s="160"/>
      <c r="L469" s="160"/>
      <c r="M469" s="160"/>
    </row>
    <row r="470" spans="2:13">
      <c r="B470" s="399"/>
      <c r="C470" s="160"/>
      <c r="D470" s="160"/>
      <c r="E470" s="160"/>
      <c r="F470" s="160"/>
      <c r="G470" s="160"/>
      <c r="H470" s="160"/>
      <c r="I470" s="160"/>
      <c r="J470" s="160"/>
      <c r="K470" s="160"/>
      <c r="L470" s="160"/>
      <c r="M470" s="160"/>
    </row>
    <row r="471" spans="2:13">
      <c r="B471" s="399"/>
      <c r="C471" s="160"/>
      <c r="D471" s="160"/>
      <c r="E471" s="160"/>
      <c r="F471" s="160"/>
      <c r="G471" s="160"/>
      <c r="H471" s="160"/>
      <c r="I471" s="160"/>
      <c r="J471" s="160"/>
      <c r="K471" s="160"/>
      <c r="L471" s="160"/>
      <c r="M471" s="160"/>
    </row>
    <row r="472" spans="2:13">
      <c r="B472" s="399"/>
      <c r="C472" s="160"/>
      <c r="D472" s="160"/>
      <c r="E472" s="160"/>
      <c r="F472" s="160"/>
      <c r="G472" s="160"/>
      <c r="H472" s="160"/>
      <c r="I472" s="160"/>
      <c r="J472" s="160"/>
      <c r="K472" s="160"/>
      <c r="L472" s="160"/>
      <c r="M472" s="160"/>
    </row>
    <row r="473" spans="2:13">
      <c r="B473" s="399"/>
      <c r="C473" s="160"/>
      <c r="D473" s="160"/>
      <c r="E473" s="160"/>
      <c r="F473" s="160"/>
      <c r="G473" s="160"/>
      <c r="H473" s="160"/>
      <c r="I473" s="160"/>
      <c r="J473" s="160"/>
      <c r="K473" s="160"/>
      <c r="L473" s="160"/>
      <c r="M473" s="160"/>
    </row>
    <row r="474" spans="2:13">
      <c r="B474" s="399"/>
      <c r="C474" s="160"/>
      <c r="D474" s="160"/>
      <c r="E474" s="160"/>
      <c r="F474" s="160"/>
      <c r="G474" s="160"/>
      <c r="H474" s="160"/>
      <c r="I474" s="160"/>
      <c r="J474" s="160"/>
      <c r="K474" s="160"/>
      <c r="L474" s="160"/>
      <c r="M474" s="160"/>
    </row>
    <row r="475" spans="2:13">
      <c r="B475" s="399"/>
      <c r="C475" s="160"/>
      <c r="D475" s="160"/>
      <c r="E475" s="160"/>
      <c r="F475" s="160"/>
      <c r="G475" s="160"/>
      <c r="H475" s="160"/>
      <c r="I475" s="160"/>
      <c r="J475" s="160"/>
      <c r="K475" s="160"/>
      <c r="L475" s="160"/>
      <c r="M475" s="160"/>
    </row>
    <row r="476" spans="2:13">
      <c r="B476" s="399"/>
      <c r="C476" s="160"/>
      <c r="D476" s="160"/>
      <c r="E476" s="160"/>
      <c r="F476" s="160"/>
      <c r="G476" s="160"/>
      <c r="H476" s="160"/>
      <c r="I476" s="160"/>
      <c r="J476" s="160"/>
      <c r="K476" s="160"/>
      <c r="L476" s="160"/>
      <c r="M476" s="160"/>
    </row>
    <row r="477" spans="2:13">
      <c r="B477" s="399"/>
      <c r="C477" s="160"/>
      <c r="D477" s="160"/>
      <c r="E477" s="160"/>
      <c r="F477" s="160"/>
      <c r="G477" s="160"/>
      <c r="H477" s="160"/>
      <c r="I477" s="160"/>
      <c r="J477" s="160"/>
      <c r="K477" s="160"/>
      <c r="L477" s="160"/>
      <c r="M477" s="160"/>
    </row>
    <row r="478" spans="2:13">
      <c r="B478" s="399"/>
      <c r="C478" s="160"/>
      <c r="D478" s="160"/>
      <c r="E478" s="160"/>
      <c r="F478" s="160"/>
      <c r="G478" s="160"/>
      <c r="H478" s="160"/>
      <c r="I478" s="160"/>
      <c r="J478" s="160"/>
      <c r="K478" s="160"/>
      <c r="L478" s="160"/>
      <c r="M478" s="160"/>
    </row>
    <row r="479" spans="2:13">
      <c r="B479" s="399"/>
      <c r="C479" s="160"/>
      <c r="D479" s="160"/>
      <c r="E479" s="160"/>
      <c r="F479" s="160"/>
      <c r="G479" s="160"/>
      <c r="H479" s="160"/>
      <c r="I479" s="160"/>
      <c r="J479" s="160"/>
      <c r="K479" s="160"/>
      <c r="L479" s="160"/>
      <c r="M479" s="160"/>
    </row>
    <row r="480" spans="2:13">
      <c r="B480" s="399"/>
      <c r="C480" s="160"/>
      <c r="D480" s="160"/>
      <c r="E480" s="160"/>
      <c r="F480" s="160"/>
      <c r="G480" s="160"/>
      <c r="H480" s="160"/>
      <c r="I480" s="160"/>
      <c r="J480" s="160"/>
      <c r="K480" s="160"/>
      <c r="L480" s="160"/>
      <c r="M480" s="160"/>
    </row>
    <row r="481" spans="2:13">
      <c r="B481" s="399"/>
      <c r="C481" s="160"/>
      <c r="D481" s="160"/>
      <c r="E481" s="160"/>
      <c r="F481" s="160"/>
      <c r="G481" s="160"/>
      <c r="H481" s="160"/>
      <c r="I481" s="160"/>
      <c r="J481" s="160"/>
      <c r="K481" s="160"/>
      <c r="L481" s="160"/>
      <c r="M481" s="160"/>
    </row>
    <row r="482" spans="2:13">
      <c r="B482" s="399"/>
      <c r="C482" s="160"/>
      <c r="D482" s="160"/>
      <c r="E482" s="160"/>
      <c r="F482" s="160"/>
      <c r="G482" s="160"/>
      <c r="H482" s="160"/>
      <c r="I482" s="160"/>
      <c r="J482" s="160"/>
      <c r="K482" s="160"/>
      <c r="L482" s="160"/>
      <c r="M482" s="160"/>
    </row>
    <row r="483" spans="2:13">
      <c r="B483" s="399"/>
      <c r="C483" s="160"/>
      <c r="D483" s="160"/>
      <c r="E483" s="160"/>
      <c r="F483" s="160"/>
      <c r="G483" s="160"/>
      <c r="H483" s="160"/>
      <c r="I483" s="160"/>
      <c r="J483" s="160"/>
      <c r="K483" s="160"/>
      <c r="L483" s="160"/>
      <c r="M483" s="160"/>
    </row>
    <row r="484" spans="2:13">
      <c r="B484" s="399"/>
      <c r="C484" s="160"/>
      <c r="D484" s="160"/>
      <c r="E484" s="160"/>
      <c r="F484" s="160"/>
      <c r="G484" s="160"/>
      <c r="H484" s="160"/>
      <c r="I484" s="160"/>
      <c r="J484" s="160"/>
      <c r="K484" s="160"/>
      <c r="L484" s="160"/>
      <c r="M484" s="160"/>
    </row>
    <row r="485" spans="2:13">
      <c r="B485" s="399"/>
      <c r="C485" s="160"/>
      <c r="D485" s="160"/>
      <c r="E485" s="160"/>
      <c r="F485" s="160"/>
      <c r="G485" s="160"/>
      <c r="H485" s="160"/>
      <c r="I485" s="160"/>
      <c r="J485" s="160"/>
      <c r="K485" s="160"/>
      <c r="L485" s="160"/>
      <c r="M485" s="160"/>
    </row>
    <row r="486" spans="2:13">
      <c r="B486" s="399"/>
      <c r="C486" s="160"/>
      <c r="D486" s="160"/>
      <c r="E486" s="160"/>
      <c r="F486" s="160"/>
      <c r="G486" s="160"/>
      <c r="H486" s="160"/>
      <c r="I486" s="160"/>
      <c r="J486" s="160"/>
      <c r="K486" s="160"/>
      <c r="L486" s="160"/>
      <c r="M486" s="160"/>
    </row>
    <row r="487" spans="2:13">
      <c r="B487" s="399"/>
      <c r="C487" s="160"/>
      <c r="D487" s="160"/>
      <c r="E487" s="160"/>
      <c r="F487" s="160"/>
      <c r="G487" s="160"/>
      <c r="H487" s="160"/>
      <c r="I487" s="160"/>
      <c r="J487" s="160"/>
      <c r="K487" s="160"/>
      <c r="L487" s="160"/>
      <c r="M487" s="160"/>
    </row>
    <row r="488" spans="2:13">
      <c r="B488" s="399"/>
      <c r="C488" s="160"/>
      <c r="D488" s="160"/>
      <c r="E488" s="160"/>
      <c r="F488" s="160"/>
      <c r="G488" s="160"/>
      <c r="H488" s="160"/>
      <c r="I488" s="160"/>
      <c r="J488" s="160"/>
      <c r="K488" s="160"/>
      <c r="L488" s="160"/>
      <c r="M488" s="160"/>
    </row>
    <row r="489" spans="2:13">
      <c r="B489" s="399"/>
      <c r="C489" s="160"/>
      <c r="D489" s="160"/>
      <c r="E489" s="160"/>
      <c r="F489" s="160"/>
      <c r="G489" s="160"/>
      <c r="H489" s="160"/>
      <c r="I489" s="160"/>
      <c r="J489" s="160"/>
      <c r="K489" s="160"/>
      <c r="L489" s="160"/>
      <c r="M489" s="160"/>
    </row>
    <row r="490" spans="2:13">
      <c r="B490" s="399"/>
      <c r="C490" s="160"/>
      <c r="D490" s="160"/>
      <c r="E490" s="160"/>
      <c r="F490" s="160"/>
      <c r="G490" s="160"/>
      <c r="H490" s="160"/>
      <c r="I490" s="160"/>
      <c r="J490" s="160"/>
      <c r="K490" s="160"/>
      <c r="L490" s="160"/>
      <c r="M490" s="160"/>
    </row>
    <row r="491" spans="2:13">
      <c r="B491" s="399"/>
      <c r="C491" s="160"/>
      <c r="D491" s="160"/>
      <c r="E491" s="160"/>
      <c r="F491" s="160"/>
      <c r="G491" s="160"/>
      <c r="H491" s="160"/>
      <c r="I491" s="160"/>
      <c r="J491" s="160"/>
      <c r="K491" s="160"/>
      <c r="L491" s="160"/>
      <c r="M491" s="160"/>
    </row>
    <row r="492" spans="2:13">
      <c r="B492" s="399"/>
      <c r="C492" s="160"/>
      <c r="D492" s="160"/>
      <c r="E492" s="160"/>
      <c r="F492" s="160"/>
      <c r="G492" s="160"/>
      <c r="H492" s="160"/>
      <c r="I492" s="160"/>
      <c r="J492" s="160"/>
      <c r="K492" s="160"/>
      <c r="L492" s="160"/>
      <c r="M492" s="160"/>
    </row>
    <row r="493" spans="2:13">
      <c r="B493" s="399"/>
      <c r="C493" s="160"/>
      <c r="D493" s="160"/>
      <c r="E493" s="160"/>
      <c r="F493" s="160"/>
      <c r="G493" s="160"/>
      <c r="H493" s="160"/>
      <c r="I493" s="160"/>
      <c r="J493" s="160"/>
      <c r="K493" s="160"/>
      <c r="L493" s="160"/>
      <c r="M493" s="160"/>
    </row>
    <row r="494" spans="2:13">
      <c r="B494" s="399"/>
      <c r="C494" s="160"/>
      <c r="D494" s="160"/>
      <c r="E494" s="160"/>
      <c r="F494" s="160"/>
      <c r="G494" s="160"/>
      <c r="H494" s="160"/>
      <c r="I494" s="160"/>
      <c r="J494" s="160"/>
      <c r="K494" s="160"/>
      <c r="L494" s="160"/>
      <c r="M494" s="160"/>
    </row>
    <row r="495" spans="2:13">
      <c r="B495" s="399"/>
      <c r="C495" s="160"/>
      <c r="D495" s="160"/>
      <c r="E495" s="160"/>
      <c r="F495" s="160"/>
      <c r="G495" s="160"/>
      <c r="H495" s="160"/>
      <c r="I495" s="160"/>
      <c r="J495" s="160"/>
      <c r="K495" s="160"/>
      <c r="L495" s="160"/>
      <c r="M495" s="160"/>
    </row>
    <row r="496" spans="2:13">
      <c r="B496" s="399"/>
      <c r="C496" s="160"/>
      <c r="D496" s="160"/>
      <c r="E496" s="160"/>
      <c r="F496" s="160"/>
      <c r="G496" s="160"/>
      <c r="H496" s="160"/>
      <c r="I496" s="160"/>
      <c r="J496" s="160"/>
      <c r="K496" s="160"/>
      <c r="L496" s="160"/>
      <c r="M496" s="160"/>
    </row>
    <row r="497" spans="2:13">
      <c r="B497" s="399"/>
      <c r="C497" s="160"/>
      <c r="D497" s="160"/>
      <c r="E497" s="160"/>
      <c r="F497" s="160"/>
      <c r="G497" s="160"/>
      <c r="H497" s="160"/>
      <c r="I497" s="160"/>
      <c r="J497" s="160"/>
      <c r="K497" s="160"/>
      <c r="L497" s="160"/>
      <c r="M497" s="160"/>
    </row>
    <row r="498" spans="2:13">
      <c r="B498" s="399"/>
      <c r="C498" s="160"/>
      <c r="D498" s="160"/>
      <c r="E498" s="160"/>
      <c r="F498" s="160"/>
      <c r="G498" s="160"/>
      <c r="H498" s="160"/>
      <c r="I498" s="160"/>
      <c r="J498" s="160"/>
      <c r="K498" s="160"/>
      <c r="L498" s="160"/>
      <c r="M498" s="160"/>
    </row>
    <row r="499" spans="2:13">
      <c r="B499" s="399"/>
      <c r="C499" s="160"/>
      <c r="D499" s="160"/>
      <c r="E499" s="160"/>
      <c r="F499" s="160"/>
      <c r="G499" s="160"/>
      <c r="H499" s="160"/>
      <c r="I499" s="160"/>
      <c r="J499" s="160"/>
      <c r="K499" s="160"/>
      <c r="L499" s="160"/>
      <c r="M499" s="160"/>
    </row>
    <row r="500" spans="2:13">
      <c r="B500" s="399"/>
      <c r="C500" s="160"/>
      <c r="D500" s="160"/>
      <c r="E500" s="160"/>
      <c r="F500" s="160"/>
      <c r="G500" s="160"/>
      <c r="H500" s="160"/>
      <c r="I500" s="160"/>
      <c r="J500" s="160"/>
      <c r="K500" s="160"/>
      <c r="L500" s="160"/>
      <c r="M500" s="160"/>
    </row>
    <row r="501" spans="2:13">
      <c r="B501" s="399"/>
      <c r="C501" s="160"/>
      <c r="D501" s="160"/>
      <c r="E501" s="160"/>
      <c r="F501" s="160"/>
      <c r="G501" s="160"/>
      <c r="H501" s="160"/>
      <c r="I501" s="160"/>
      <c r="J501" s="160"/>
      <c r="K501" s="160"/>
      <c r="L501" s="160"/>
      <c r="M501" s="160"/>
    </row>
    <row r="502" spans="2:13">
      <c r="B502" s="399"/>
      <c r="C502" s="160"/>
      <c r="D502" s="160"/>
      <c r="E502" s="160"/>
      <c r="F502" s="160"/>
      <c r="G502" s="160"/>
      <c r="H502" s="160"/>
      <c r="I502" s="160"/>
      <c r="J502" s="160"/>
      <c r="K502" s="160"/>
      <c r="L502" s="160"/>
      <c r="M502" s="160"/>
    </row>
    <row r="503" spans="2:13">
      <c r="B503" s="399"/>
      <c r="C503" s="160"/>
      <c r="D503" s="160"/>
      <c r="E503" s="160"/>
      <c r="F503" s="160"/>
      <c r="G503" s="160"/>
      <c r="H503" s="160"/>
      <c r="I503" s="160"/>
      <c r="J503" s="160"/>
      <c r="K503" s="160"/>
      <c r="L503" s="160"/>
      <c r="M503" s="160"/>
    </row>
    <row r="504" spans="2:13">
      <c r="B504" s="399"/>
      <c r="C504" s="160"/>
      <c r="D504" s="160"/>
      <c r="E504" s="160"/>
      <c r="F504" s="160"/>
      <c r="G504" s="160"/>
      <c r="H504" s="160"/>
      <c r="I504" s="160"/>
      <c r="J504" s="160"/>
      <c r="K504" s="160"/>
      <c r="L504" s="160"/>
      <c r="M504" s="160"/>
    </row>
    <row r="505" spans="2:13">
      <c r="B505" s="399"/>
      <c r="C505" s="160"/>
      <c r="D505" s="160"/>
      <c r="E505" s="160"/>
      <c r="F505" s="160"/>
      <c r="G505" s="160"/>
      <c r="H505" s="160"/>
      <c r="I505" s="160"/>
      <c r="J505" s="160"/>
      <c r="K505" s="160"/>
      <c r="L505" s="160"/>
      <c r="M505" s="160"/>
    </row>
    <row r="506" spans="2:13">
      <c r="B506" s="399"/>
      <c r="C506" s="160"/>
      <c r="D506" s="160"/>
      <c r="E506" s="160"/>
      <c r="F506" s="160"/>
      <c r="G506" s="160"/>
      <c r="H506" s="160"/>
      <c r="I506" s="160"/>
      <c r="J506" s="160"/>
      <c r="K506" s="160"/>
      <c r="L506" s="160"/>
      <c r="M506" s="160"/>
    </row>
    <row r="507" spans="2:13">
      <c r="B507" s="399"/>
      <c r="C507" s="160"/>
      <c r="D507" s="160"/>
      <c r="E507" s="160"/>
      <c r="F507" s="160"/>
      <c r="G507" s="160"/>
      <c r="H507" s="160"/>
      <c r="I507" s="160"/>
      <c r="J507" s="160"/>
      <c r="K507" s="160"/>
      <c r="L507" s="160"/>
      <c r="M507" s="160"/>
    </row>
    <row r="508" spans="2:13">
      <c r="B508" s="399"/>
      <c r="C508" s="160"/>
      <c r="D508" s="160"/>
      <c r="E508" s="160"/>
      <c r="F508" s="160"/>
      <c r="G508" s="160"/>
      <c r="H508" s="160"/>
      <c r="I508" s="160"/>
      <c r="J508" s="160"/>
      <c r="K508" s="160"/>
      <c r="L508" s="160"/>
      <c r="M508" s="160"/>
    </row>
    <row r="509" spans="2:13">
      <c r="B509" s="399"/>
      <c r="C509" s="160"/>
      <c r="D509" s="160"/>
      <c r="E509" s="160"/>
      <c r="F509" s="160"/>
      <c r="G509" s="160"/>
      <c r="H509" s="160"/>
      <c r="I509" s="160"/>
      <c r="J509" s="160"/>
      <c r="K509" s="160"/>
      <c r="L509" s="160"/>
      <c r="M509" s="160"/>
    </row>
    <row r="510" spans="2:13">
      <c r="B510" s="399"/>
      <c r="C510" s="160"/>
      <c r="D510" s="160"/>
      <c r="E510" s="160"/>
      <c r="F510" s="160"/>
      <c r="G510" s="160"/>
      <c r="H510" s="160"/>
      <c r="I510" s="160"/>
      <c r="J510" s="160"/>
      <c r="K510" s="160"/>
      <c r="L510" s="160"/>
      <c r="M510" s="160"/>
    </row>
    <row r="511" spans="2:13">
      <c r="B511" s="399"/>
      <c r="C511" s="160"/>
      <c r="D511" s="160"/>
      <c r="E511" s="160"/>
      <c r="F511" s="160"/>
      <c r="G511" s="160"/>
      <c r="H511" s="160"/>
      <c r="I511" s="160"/>
      <c r="J511" s="160"/>
      <c r="K511" s="160"/>
      <c r="L511" s="160"/>
      <c r="M511" s="160"/>
    </row>
    <row r="512" spans="2:13">
      <c r="B512" s="399"/>
      <c r="C512" s="160"/>
      <c r="D512" s="160"/>
      <c r="E512" s="160"/>
      <c r="F512" s="160"/>
      <c r="G512" s="160"/>
      <c r="H512" s="160"/>
      <c r="I512" s="160"/>
      <c r="J512" s="160"/>
      <c r="K512" s="160"/>
      <c r="L512" s="160"/>
      <c r="M512" s="160"/>
    </row>
    <row r="513" spans="2:13">
      <c r="B513" s="399"/>
      <c r="C513" s="160"/>
      <c r="D513" s="160"/>
      <c r="E513" s="160"/>
      <c r="F513" s="160"/>
      <c r="G513" s="160"/>
      <c r="H513" s="160"/>
      <c r="I513" s="160"/>
      <c r="J513" s="160"/>
      <c r="K513" s="160"/>
      <c r="L513" s="160"/>
      <c r="M513" s="160"/>
    </row>
    <row r="514" spans="2:13">
      <c r="B514" s="399"/>
      <c r="C514" s="160"/>
      <c r="D514" s="160"/>
      <c r="E514" s="160"/>
      <c r="F514" s="160"/>
      <c r="G514" s="160"/>
      <c r="H514" s="160"/>
      <c r="I514" s="160"/>
      <c r="J514" s="160"/>
      <c r="K514" s="160"/>
      <c r="L514" s="160"/>
      <c r="M514" s="160"/>
    </row>
    <row r="515" spans="2:13">
      <c r="B515" s="399"/>
      <c r="C515" s="160"/>
      <c r="D515" s="160"/>
      <c r="E515" s="160"/>
      <c r="F515" s="160"/>
      <c r="G515" s="160"/>
      <c r="H515" s="160"/>
      <c r="I515" s="160"/>
      <c r="J515" s="160"/>
      <c r="K515" s="160"/>
      <c r="L515" s="160"/>
      <c r="M515" s="160"/>
    </row>
    <row r="516" spans="2:13">
      <c r="B516" s="399"/>
      <c r="C516" s="160"/>
      <c r="D516" s="160"/>
      <c r="E516" s="160"/>
      <c r="F516" s="160"/>
      <c r="G516" s="160"/>
      <c r="H516" s="160"/>
      <c r="I516" s="160"/>
      <c r="J516" s="160"/>
      <c r="K516" s="160"/>
      <c r="L516" s="160"/>
      <c r="M516" s="160"/>
    </row>
    <row r="517" spans="2:13">
      <c r="B517" s="399"/>
      <c r="C517" s="160"/>
      <c r="D517" s="160"/>
      <c r="E517" s="160"/>
      <c r="F517" s="160"/>
      <c r="G517" s="160"/>
      <c r="H517" s="160"/>
      <c r="I517" s="160"/>
      <c r="J517" s="160"/>
      <c r="K517" s="160"/>
      <c r="L517" s="160"/>
      <c r="M517" s="160"/>
    </row>
    <row r="518" spans="2:13">
      <c r="B518" s="399"/>
      <c r="C518" s="160"/>
      <c r="D518" s="160"/>
      <c r="E518" s="160"/>
      <c r="F518" s="160"/>
      <c r="G518" s="160"/>
      <c r="H518" s="160"/>
      <c r="I518" s="160"/>
      <c r="J518" s="160"/>
      <c r="K518" s="160"/>
      <c r="L518" s="160"/>
      <c r="M518" s="160"/>
    </row>
    <row r="519" spans="2:13">
      <c r="B519" s="399"/>
      <c r="C519" s="160"/>
      <c r="D519" s="160"/>
      <c r="E519" s="160"/>
      <c r="F519" s="160"/>
      <c r="G519" s="160"/>
      <c r="H519" s="160"/>
      <c r="I519" s="160"/>
      <c r="J519" s="160"/>
      <c r="K519" s="160"/>
      <c r="L519" s="160"/>
      <c r="M519" s="160"/>
    </row>
    <row r="520" spans="2:13">
      <c r="B520" s="399"/>
      <c r="C520" s="160"/>
      <c r="D520" s="160"/>
      <c r="E520" s="160"/>
      <c r="F520" s="160"/>
      <c r="G520" s="160"/>
      <c r="H520" s="160"/>
      <c r="I520" s="160"/>
      <c r="J520" s="160"/>
      <c r="K520" s="160"/>
      <c r="L520" s="160"/>
      <c r="M520" s="160"/>
    </row>
    <row r="521" spans="2:13">
      <c r="B521" s="399"/>
      <c r="C521" s="160"/>
      <c r="D521" s="160"/>
      <c r="E521" s="160"/>
      <c r="F521" s="160"/>
      <c r="G521" s="160"/>
      <c r="H521" s="160"/>
      <c r="I521" s="160"/>
      <c r="J521" s="160"/>
      <c r="K521" s="160"/>
      <c r="L521" s="160"/>
      <c r="M521" s="160"/>
    </row>
    <row r="522" spans="2:13">
      <c r="B522" s="399"/>
      <c r="C522" s="160"/>
      <c r="D522" s="160"/>
      <c r="E522" s="160"/>
      <c r="F522" s="160"/>
      <c r="G522" s="160"/>
      <c r="H522" s="160"/>
      <c r="I522" s="160"/>
      <c r="J522" s="160"/>
      <c r="K522" s="160"/>
      <c r="L522" s="160"/>
      <c r="M522" s="160"/>
    </row>
    <row r="523" spans="2:13">
      <c r="B523" s="399"/>
      <c r="C523" s="160"/>
      <c r="D523" s="160"/>
      <c r="E523" s="160"/>
      <c r="F523" s="160"/>
      <c r="G523" s="160"/>
      <c r="H523" s="160"/>
      <c r="I523" s="160"/>
      <c r="J523" s="160"/>
      <c r="K523" s="160"/>
      <c r="L523" s="160"/>
      <c r="M523" s="160"/>
    </row>
    <row r="524" spans="2:13">
      <c r="B524" s="399"/>
      <c r="C524" s="160"/>
      <c r="D524" s="160"/>
      <c r="E524" s="160"/>
      <c r="F524" s="160"/>
      <c r="G524" s="160"/>
      <c r="H524" s="160"/>
      <c r="I524" s="160"/>
      <c r="J524" s="160"/>
      <c r="K524" s="160"/>
      <c r="L524" s="160"/>
      <c r="M524" s="160"/>
    </row>
    <row r="525" spans="2:13">
      <c r="B525" s="399"/>
      <c r="C525" s="160"/>
      <c r="D525" s="160"/>
      <c r="E525" s="160"/>
      <c r="F525" s="160"/>
      <c r="G525" s="160"/>
      <c r="H525" s="160"/>
      <c r="I525" s="160"/>
      <c r="J525" s="160"/>
      <c r="K525" s="160"/>
      <c r="L525" s="160"/>
      <c r="M525" s="160"/>
    </row>
    <row r="526" spans="2:13">
      <c r="B526" s="399"/>
      <c r="C526" s="160"/>
      <c r="D526" s="160"/>
      <c r="E526" s="160"/>
      <c r="F526" s="160"/>
      <c r="G526" s="160"/>
      <c r="H526" s="160"/>
      <c r="I526" s="160"/>
      <c r="J526" s="160"/>
      <c r="K526" s="160"/>
      <c r="L526" s="160"/>
      <c r="M526" s="160"/>
    </row>
    <row r="527" spans="2:13">
      <c r="B527" s="399"/>
      <c r="C527" s="160"/>
      <c r="D527" s="160"/>
      <c r="E527" s="160"/>
      <c r="F527" s="160"/>
      <c r="G527" s="160"/>
      <c r="H527" s="160"/>
      <c r="I527" s="160"/>
      <c r="J527" s="160"/>
      <c r="K527" s="160"/>
      <c r="L527" s="160"/>
      <c r="M527" s="160"/>
    </row>
    <row r="528" spans="2:13">
      <c r="B528" s="399"/>
      <c r="C528" s="160"/>
      <c r="D528" s="160"/>
      <c r="E528" s="160"/>
      <c r="F528" s="160"/>
      <c r="G528" s="160"/>
      <c r="H528" s="160"/>
      <c r="I528" s="160"/>
      <c r="J528" s="160"/>
      <c r="K528" s="160"/>
      <c r="L528" s="160"/>
      <c r="M528" s="160"/>
    </row>
    <row r="529" spans="2:13">
      <c r="B529" s="399"/>
      <c r="C529" s="160"/>
      <c r="D529" s="160"/>
      <c r="E529" s="160"/>
      <c r="F529" s="160"/>
      <c r="G529" s="160"/>
      <c r="H529" s="160"/>
      <c r="I529" s="160"/>
      <c r="J529" s="160"/>
      <c r="K529" s="160"/>
      <c r="L529" s="160"/>
      <c r="M529" s="160"/>
    </row>
    <row r="530" spans="2:13">
      <c r="B530" s="399"/>
      <c r="C530" s="160"/>
      <c r="D530" s="160"/>
      <c r="E530" s="160"/>
      <c r="F530" s="160"/>
      <c r="G530" s="160"/>
      <c r="H530" s="160"/>
      <c r="I530" s="160"/>
      <c r="J530" s="160"/>
      <c r="K530" s="160"/>
      <c r="L530" s="160"/>
      <c r="M530" s="160"/>
    </row>
    <row r="531" spans="2:13">
      <c r="B531" s="399"/>
      <c r="C531" s="160"/>
      <c r="D531" s="160"/>
      <c r="E531" s="160"/>
      <c r="F531" s="160"/>
      <c r="G531" s="160"/>
      <c r="H531" s="160"/>
      <c r="I531" s="160"/>
      <c r="J531" s="160"/>
      <c r="K531" s="160"/>
      <c r="L531" s="160"/>
      <c r="M531" s="160"/>
    </row>
    <row r="532" spans="2:13">
      <c r="B532" s="399"/>
      <c r="C532" s="160"/>
      <c r="D532" s="160"/>
      <c r="E532" s="160"/>
      <c r="F532" s="160"/>
      <c r="G532" s="160"/>
      <c r="H532" s="160"/>
      <c r="I532" s="160"/>
      <c r="J532" s="160"/>
      <c r="K532" s="160"/>
      <c r="L532" s="160"/>
      <c r="M532" s="160"/>
    </row>
    <row r="533" spans="2:13">
      <c r="B533" s="399"/>
      <c r="C533" s="160"/>
      <c r="D533" s="160"/>
      <c r="E533" s="160"/>
      <c r="F533" s="160"/>
      <c r="G533" s="160"/>
      <c r="H533" s="160"/>
      <c r="I533" s="160"/>
      <c r="J533" s="160"/>
      <c r="K533" s="160"/>
      <c r="L533" s="160"/>
      <c r="M533" s="160"/>
    </row>
    <row r="534" spans="2:13">
      <c r="B534" s="399"/>
      <c r="C534" s="160"/>
      <c r="D534" s="160"/>
      <c r="E534" s="160"/>
      <c r="F534" s="160"/>
      <c r="G534" s="160"/>
      <c r="H534" s="160"/>
      <c r="I534" s="160"/>
      <c r="J534" s="160"/>
      <c r="K534" s="160"/>
      <c r="L534" s="160"/>
      <c r="M534" s="160"/>
    </row>
    <row r="535" spans="2:13">
      <c r="B535" s="399"/>
      <c r="C535" s="160"/>
      <c r="D535" s="160"/>
      <c r="E535" s="160"/>
      <c r="F535" s="160"/>
      <c r="G535" s="160"/>
      <c r="H535" s="160"/>
      <c r="I535" s="160"/>
      <c r="J535" s="160"/>
      <c r="K535" s="160"/>
      <c r="L535" s="160"/>
      <c r="M535" s="160"/>
    </row>
    <row r="536" spans="2:13">
      <c r="B536" s="399"/>
      <c r="C536" s="160"/>
      <c r="D536" s="160"/>
      <c r="E536" s="160"/>
      <c r="F536" s="160"/>
      <c r="G536" s="160"/>
      <c r="H536" s="160"/>
      <c r="I536" s="160"/>
      <c r="J536" s="160"/>
      <c r="K536" s="160"/>
      <c r="L536" s="160"/>
      <c r="M536" s="160"/>
    </row>
    <row r="537" spans="2:13">
      <c r="B537" s="399"/>
      <c r="C537" s="160"/>
      <c r="D537" s="160"/>
      <c r="E537" s="160"/>
      <c r="F537" s="160"/>
      <c r="G537" s="160"/>
      <c r="H537" s="160"/>
      <c r="I537" s="160"/>
      <c r="J537" s="160"/>
      <c r="K537" s="160"/>
      <c r="L537" s="160"/>
      <c r="M537" s="160"/>
    </row>
    <row r="538" spans="2:13">
      <c r="B538" s="399"/>
      <c r="C538" s="160"/>
      <c r="D538" s="160"/>
      <c r="E538" s="160"/>
      <c r="F538" s="160"/>
      <c r="G538" s="160"/>
      <c r="H538" s="160"/>
      <c r="I538" s="160"/>
      <c r="J538" s="160"/>
      <c r="K538" s="160"/>
      <c r="L538" s="160"/>
      <c r="M538" s="160"/>
    </row>
    <row r="539" spans="2:13">
      <c r="B539" s="399"/>
      <c r="C539" s="160"/>
      <c r="D539" s="160"/>
      <c r="E539" s="160"/>
      <c r="F539" s="160"/>
      <c r="G539" s="160"/>
      <c r="H539" s="160"/>
      <c r="I539" s="160"/>
      <c r="J539" s="160"/>
      <c r="K539" s="160"/>
      <c r="L539" s="160"/>
      <c r="M539" s="160"/>
    </row>
    <row r="540" spans="2:13">
      <c r="B540" s="399"/>
      <c r="C540" s="160"/>
      <c r="D540" s="160"/>
      <c r="E540" s="160"/>
      <c r="F540" s="160"/>
      <c r="G540" s="160"/>
      <c r="H540" s="160"/>
      <c r="I540" s="160"/>
      <c r="J540" s="160"/>
      <c r="K540" s="160"/>
      <c r="L540" s="160"/>
      <c r="M540" s="160"/>
    </row>
    <row r="541" spans="2:13">
      <c r="B541" s="399"/>
      <c r="C541" s="160"/>
      <c r="D541" s="160"/>
      <c r="E541" s="160"/>
      <c r="F541" s="160"/>
      <c r="G541" s="160"/>
      <c r="H541" s="160"/>
      <c r="I541" s="160"/>
      <c r="J541" s="160"/>
      <c r="K541" s="160"/>
      <c r="L541" s="160"/>
      <c r="M541" s="160"/>
    </row>
    <row r="542" spans="2:13">
      <c r="B542" s="399"/>
      <c r="C542" s="160"/>
      <c r="D542" s="160"/>
      <c r="E542" s="160"/>
      <c r="F542" s="160"/>
      <c r="G542" s="160"/>
      <c r="H542" s="160"/>
      <c r="I542" s="160"/>
      <c r="J542" s="160"/>
      <c r="K542" s="160"/>
      <c r="L542" s="160"/>
      <c r="M542" s="160"/>
    </row>
    <row r="543" spans="2:13">
      <c r="B543" s="399"/>
      <c r="C543" s="160"/>
      <c r="D543" s="160"/>
      <c r="E543" s="160"/>
      <c r="F543" s="160"/>
      <c r="G543" s="160"/>
      <c r="H543" s="160"/>
      <c r="I543" s="160"/>
      <c r="J543" s="160"/>
      <c r="K543" s="160"/>
      <c r="L543" s="160"/>
      <c r="M543" s="160"/>
    </row>
    <row r="544" spans="2:13">
      <c r="B544" s="399"/>
      <c r="C544" s="160"/>
      <c r="D544" s="160"/>
      <c r="E544" s="160"/>
      <c r="F544" s="160"/>
      <c r="G544" s="160"/>
      <c r="H544" s="160"/>
      <c r="I544" s="160"/>
      <c r="J544" s="160"/>
      <c r="K544" s="160"/>
      <c r="L544" s="160"/>
      <c r="M544" s="160"/>
    </row>
    <row r="545" spans="2:13">
      <c r="B545" s="399"/>
      <c r="C545" s="160"/>
      <c r="D545" s="160"/>
      <c r="E545" s="160"/>
      <c r="F545" s="160"/>
      <c r="G545" s="160"/>
      <c r="H545" s="160"/>
      <c r="I545" s="160"/>
      <c r="J545" s="160"/>
      <c r="K545" s="160"/>
      <c r="L545" s="160"/>
      <c r="M545" s="160"/>
    </row>
    <row r="546" spans="2:13">
      <c r="B546" s="399"/>
      <c r="C546" s="160"/>
      <c r="D546" s="160"/>
      <c r="E546" s="160"/>
      <c r="F546" s="160"/>
      <c r="G546" s="160"/>
      <c r="H546" s="160"/>
      <c r="I546" s="160"/>
      <c r="J546" s="160"/>
      <c r="K546" s="160"/>
      <c r="L546" s="160"/>
      <c r="M546" s="160"/>
    </row>
    <row r="547" spans="2:13">
      <c r="B547" s="399"/>
      <c r="C547" s="160"/>
      <c r="D547" s="160"/>
      <c r="E547" s="160"/>
      <c r="F547" s="160"/>
      <c r="G547" s="160"/>
      <c r="H547" s="160"/>
      <c r="I547" s="160"/>
      <c r="J547" s="160"/>
      <c r="K547" s="160"/>
      <c r="L547" s="160"/>
      <c r="M547" s="160"/>
    </row>
    <row r="548" spans="2:13">
      <c r="B548" s="399"/>
      <c r="C548" s="160"/>
      <c r="D548" s="160"/>
      <c r="E548" s="160"/>
      <c r="F548" s="160"/>
      <c r="G548" s="160"/>
      <c r="H548" s="160"/>
      <c r="I548" s="160"/>
      <c r="J548" s="160"/>
      <c r="K548" s="160"/>
      <c r="L548" s="160"/>
      <c r="M548" s="160"/>
    </row>
    <row r="549" spans="2:13">
      <c r="B549" s="399"/>
      <c r="C549" s="160"/>
      <c r="D549" s="160"/>
      <c r="E549" s="160"/>
      <c r="F549" s="160"/>
      <c r="G549" s="160"/>
      <c r="H549" s="160"/>
      <c r="I549" s="160"/>
      <c r="J549" s="160"/>
      <c r="K549" s="160"/>
      <c r="L549" s="160"/>
      <c r="M549" s="160"/>
    </row>
    <row r="550" spans="2:13">
      <c r="B550" s="399"/>
      <c r="C550" s="160"/>
      <c r="D550" s="160"/>
      <c r="E550" s="160"/>
      <c r="F550" s="160"/>
      <c r="G550" s="160"/>
      <c r="H550" s="160"/>
      <c r="I550" s="160"/>
      <c r="J550" s="160"/>
      <c r="K550" s="160"/>
      <c r="L550" s="160"/>
      <c r="M550" s="160"/>
    </row>
    <row r="551" spans="2:13">
      <c r="B551" s="399"/>
      <c r="C551" s="160"/>
      <c r="D551" s="160"/>
      <c r="E551" s="160"/>
      <c r="F551" s="160"/>
      <c r="G551" s="160"/>
      <c r="H551" s="160"/>
      <c r="I551" s="160"/>
      <c r="J551" s="160"/>
      <c r="K551" s="160"/>
      <c r="L551" s="160"/>
      <c r="M551" s="160"/>
    </row>
    <row r="552" spans="2:13">
      <c r="B552" s="399"/>
      <c r="C552" s="160"/>
      <c r="D552" s="160"/>
      <c r="E552" s="160"/>
      <c r="F552" s="160"/>
      <c r="G552" s="160"/>
      <c r="H552" s="160"/>
      <c r="I552" s="160"/>
      <c r="J552" s="160"/>
      <c r="K552" s="160"/>
      <c r="L552" s="160"/>
      <c r="M552" s="160"/>
    </row>
    <row r="553" spans="2:13">
      <c r="B553" s="399"/>
      <c r="C553" s="160"/>
      <c r="D553" s="160"/>
      <c r="E553" s="160"/>
      <c r="F553" s="160"/>
      <c r="G553" s="160"/>
      <c r="H553" s="160"/>
      <c r="I553" s="160"/>
      <c r="J553" s="160"/>
      <c r="K553" s="160"/>
      <c r="L553" s="160"/>
      <c r="M553" s="160"/>
    </row>
    <row r="554" spans="2:13">
      <c r="B554" s="399"/>
      <c r="C554" s="160"/>
      <c r="D554" s="160"/>
      <c r="E554" s="160"/>
      <c r="F554" s="160"/>
      <c r="G554" s="160"/>
      <c r="H554" s="160"/>
      <c r="I554" s="160"/>
      <c r="J554" s="160"/>
      <c r="K554" s="160"/>
      <c r="L554" s="160"/>
      <c r="M554" s="160"/>
    </row>
    <row r="555" spans="2:13">
      <c r="B555" s="399"/>
      <c r="C555" s="160"/>
      <c r="D555" s="160"/>
      <c r="E555" s="160"/>
      <c r="F555" s="160"/>
      <c r="G555" s="160"/>
      <c r="H555" s="160"/>
      <c r="I555" s="160"/>
      <c r="J555" s="160"/>
      <c r="K555" s="160"/>
      <c r="L555" s="160"/>
      <c r="M555" s="160"/>
    </row>
    <row r="556" spans="2:13">
      <c r="B556" s="399"/>
      <c r="C556" s="160"/>
      <c r="D556" s="160"/>
      <c r="E556" s="160"/>
      <c r="F556" s="160"/>
      <c r="G556" s="160"/>
      <c r="H556" s="160"/>
      <c r="I556" s="160"/>
      <c r="J556" s="160"/>
      <c r="K556" s="160"/>
      <c r="L556" s="160"/>
      <c r="M556" s="160"/>
    </row>
    <row r="557" spans="2:13">
      <c r="B557" s="399"/>
      <c r="C557" s="160"/>
      <c r="D557" s="160"/>
      <c r="E557" s="160"/>
      <c r="F557" s="160"/>
      <c r="G557" s="160"/>
      <c r="H557" s="160"/>
      <c r="I557" s="160"/>
      <c r="J557" s="160"/>
      <c r="K557" s="160"/>
      <c r="L557" s="160"/>
      <c r="M557" s="160"/>
    </row>
    <row r="558" spans="2:13">
      <c r="B558" s="399"/>
      <c r="C558" s="160"/>
      <c r="D558" s="160"/>
      <c r="E558" s="160"/>
      <c r="F558" s="160"/>
      <c r="G558" s="160"/>
      <c r="H558" s="160"/>
      <c r="I558" s="160"/>
      <c r="J558" s="160"/>
      <c r="K558" s="160"/>
      <c r="L558" s="160"/>
      <c r="M558" s="160"/>
    </row>
    <row r="559" spans="2:13">
      <c r="B559" s="399"/>
      <c r="C559" s="160"/>
      <c r="D559" s="160"/>
      <c r="E559" s="160"/>
      <c r="F559" s="160"/>
      <c r="G559" s="160"/>
      <c r="H559" s="160"/>
      <c r="I559" s="160"/>
      <c r="J559" s="160"/>
      <c r="K559" s="160"/>
      <c r="L559" s="160"/>
      <c r="M559" s="160"/>
    </row>
    <row r="560" spans="2:13">
      <c r="B560" s="399"/>
      <c r="C560" s="160"/>
      <c r="D560" s="160"/>
      <c r="E560" s="160"/>
      <c r="F560" s="160"/>
      <c r="G560" s="160"/>
      <c r="H560" s="160"/>
      <c r="I560" s="160"/>
      <c r="J560" s="160"/>
      <c r="K560" s="160"/>
      <c r="L560" s="160"/>
      <c r="M560" s="160"/>
    </row>
    <row r="561" spans="2:13">
      <c r="B561" s="399"/>
      <c r="C561" s="160"/>
      <c r="D561" s="160"/>
      <c r="E561" s="160"/>
      <c r="F561" s="160"/>
      <c r="G561" s="160"/>
      <c r="H561" s="160"/>
      <c r="I561" s="160"/>
      <c r="J561" s="160"/>
      <c r="K561" s="160"/>
      <c r="L561" s="160"/>
      <c r="M561" s="160"/>
    </row>
    <row r="562" spans="2:13">
      <c r="B562" s="399"/>
      <c r="C562" s="160"/>
      <c r="D562" s="160"/>
      <c r="E562" s="160"/>
      <c r="F562" s="160"/>
      <c r="G562" s="160"/>
      <c r="H562" s="160"/>
      <c r="I562" s="160"/>
      <c r="J562" s="160"/>
      <c r="K562" s="160"/>
      <c r="L562" s="160"/>
      <c r="M562" s="160"/>
    </row>
    <row r="563" spans="2:13">
      <c r="B563" s="399"/>
      <c r="C563" s="160"/>
      <c r="D563" s="160"/>
      <c r="E563" s="160"/>
      <c r="F563" s="160"/>
      <c r="G563" s="160"/>
      <c r="H563" s="160"/>
      <c r="I563" s="160"/>
      <c r="J563" s="160"/>
      <c r="K563" s="160"/>
      <c r="L563" s="160"/>
      <c r="M563" s="160"/>
    </row>
    <row r="564" spans="2:13">
      <c r="B564" s="399"/>
      <c r="C564" s="160"/>
      <c r="D564" s="160"/>
      <c r="E564" s="160"/>
      <c r="F564" s="160"/>
      <c r="G564" s="160"/>
      <c r="H564" s="160"/>
      <c r="I564" s="160"/>
      <c r="J564" s="160"/>
      <c r="K564" s="160"/>
      <c r="L564" s="160"/>
      <c r="M564" s="160"/>
    </row>
    <row r="565" spans="2:13">
      <c r="B565" s="399"/>
      <c r="C565" s="160"/>
      <c r="D565" s="160"/>
      <c r="E565" s="160"/>
      <c r="F565" s="160"/>
      <c r="G565" s="160"/>
      <c r="H565" s="160"/>
      <c r="I565" s="160"/>
      <c r="J565" s="160"/>
      <c r="K565" s="160"/>
      <c r="L565" s="160"/>
      <c r="M565" s="160"/>
    </row>
    <row r="566" spans="2:13">
      <c r="B566" s="399"/>
      <c r="C566" s="160"/>
      <c r="D566" s="160"/>
      <c r="E566" s="160"/>
      <c r="F566" s="160"/>
      <c r="G566" s="160"/>
      <c r="H566" s="160"/>
      <c r="I566" s="160"/>
      <c r="J566" s="160"/>
      <c r="K566" s="160"/>
      <c r="L566" s="160"/>
      <c r="M566" s="160"/>
    </row>
    <row r="567" spans="2:13">
      <c r="B567" s="399"/>
      <c r="C567" s="160"/>
      <c r="D567" s="160"/>
      <c r="E567" s="160"/>
      <c r="F567" s="160"/>
      <c r="G567" s="160"/>
      <c r="H567" s="160"/>
      <c r="I567" s="160"/>
      <c r="J567" s="160"/>
      <c r="K567" s="160"/>
      <c r="L567" s="160"/>
      <c r="M567" s="160"/>
    </row>
    <row r="568" spans="2:13">
      <c r="B568" s="399"/>
      <c r="C568" s="160"/>
      <c r="D568" s="160"/>
      <c r="E568" s="160"/>
      <c r="F568" s="160"/>
      <c r="G568" s="160"/>
      <c r="H568" s="160"/>
      <c r="I568" s="160"/>
      <c r="J568" s="160"/>
      <c r="K568" s="160"/>
      <c r="L568" s="160"/>
      <c r="M568" s="160"/>
    </row>
    <row r="569" spans="2:13">
      <c r="B569" s="399"/>
      <c r="C569" s="160"/>
      <c r="D569" s="160"/>
      <c r="E569" s="160"/>
      <c r="F569" s="160"/>
      <c r="G569" s="160"/>
      <c r="H569" s="160"/>
      <c r="I569" s="160"/>
      <c r="J569" s="160"/>
      <c r="K569" s="160"/>
      <c r="L569" s="160"/>
      <c r="M569" s="160"/>
    </row>
    <row r="570" spans="2:13">
      <c r="B570" s="399"/>
      <c r="C570" s="160"/>
      <c r="D570" s="160"/>
      <c r="E570" s="160"/>
      <c r="F570" s="160"/>
      <c r="G570" s="160"/>
      <c r="H570" s="160"/>
      <c r="I570" s="160"/>
      <c r="J570" s="160"/>
      <c r="K570" s="160"/>
      <c r="L570" s="160"/>
      <c r="M570" s="160"/>
    </row>
    <row r="571" spans="2:13">
      <c r="B571" s="399"/>
      <c r="C571" s="160"/>
      <c r="D571" s="160"/>
      <c r="E571" s="160"/>
      <c r="F571" s="160"/>
      <c r="G571" s="160"/>
      <c r="H571" s="160"/>
      <c r="I571" s="160"/>
      <c r="J571" s="160"/>
      <c r="K571" s="160"/>
      <c r="L571" s="160"/>
      <c r="M571" s="160"/>
    </row>
    <row r="572" spans="2:13">
      <c r="B572" s="399"/>
      <c r="C572" s="160"/>
      <c r="D572" s="160"/>
      <c r="E572" s="160"/>
      <c r="F572" s="160"/>
      <c r="G572" s="160"/>
      <c r="H572" s="160"/>
      <c r="I572" s="160"/>
      <c r="J572" s="160"/>
      <c r="K572" s="160"/>
      <c r="L572" s="160"/>
      <c r="M572" s="160"/>
    </row>
    <row r="573" spans="2:13">
      <c r="B573" s="399"/>
      <c r="C573" s="160"/>
      <c r="D573" s="160"/>
      <c r="E573" s="160"/>
      <c r="F573" s="160"/>
      <c r="G573" s="160"/>
      <c r="H573" s="160"/>
      <c r="I573" s="160"/>
      <c r="J573" s="160"/>
      <c r="K573" s="160"/>
      <c r="L573" s="160"/>
      <c r="M573" s="160"/>
    </row>
    <row r="574" spans="2:13">
      <c r="B574" s="399"/>
      <c r="C574" s="160"/>
      <c r="D574" s="160"/>
      <c r="E574" s="160"/>
      <c r="F574" s="160"/>
      <c r="G574" s="160"/>
      <c r="H574" s="160"/>
      <c r="I574" s="160"/>
      <c r="J574" s="160"/>
      <c r="K574" s="160"/>
      <c r="L574" s="160"/>
      <c r="M574" s="160"/>
    </row>
    <row r="575" spans="2:13">
      <c r="B575" s="399"/>
      <c r="C575" s="160"/>
      <c r="D575" s="160"/>
      <c r="E575" s="160"/>
      <c r="F575" s="160"/>
      <c r="G575" s="160"/>
      <c r="H575" s="160"/>
      <c r="I575" s="160"/>
      <c r="J575" s="160"/>
      <c r="K575" s="160"/>
      <c r="L575" s="160"/>
      <c r="M575" s="160"/>
    </row>
    <row r="576" spans="2:13">
      <c r="B576" s="399"/>
      <c r="C576" s="160"/>
      <c r="D576" s="160"/>
      <c r="E576" s="160"/>
      <c r="F576" s="160"/>
      <c r="G576" s="160"/>
      <c r="H576" s="160"/>
      <c r="I576" s="160"/>
      <c r="J576" s="160"/>
      <c r="K576" s="160"/>
      <c r="L576" s="160"/>
      <c r="M576" s="160"/>
    </row>
    <row r="577" spans="2:13">
      <c r="B577" s="399"/>
      <c r="C577" s="160"/>
      <c r="D577" s="160"/>
      <c r="E577" s="160"/>
      <c r="F577" s="160"/>
      <c r="G577" s="160"/>
      <c r="H577" s="160"/>
      <c r="I577" s="160"/>
      <c r="J577" s="160"/>
      <c r="K577" s="160"/>
      <c r="L577" s="160"/>
      <c r="M577" s="160"/>
    </row>
    <row r="578" spans="2:13">
      <c r="B578" s="399"/>
      <c r="C578" s="160"/>
      <c r="D578" s="160"/>
      <c r="E578" s="160"/>
      <c r="F578" s="160"/>
      <c r="G578" s="160"/>
      <c r="H578" s="160"/>
      <c r="I578" s="160"/>
      <c r="J578" s="160"/>
      <c r="K578" s="160"/>
      <c r="L578" s="160"/>
      <c r="M578" s="160"/>
    </row>
    <row r="579" spans="2:13">
      <c r="B579" s="399"/>
      <c r="C579" s="160"/>
      <c r="D579" s="160"/>
      <c r="E579" s="160"/>
      <c r="F579" s="160"/>
      <c r="G579" s="160"/>
      <c r="H579" s="160"/>
      <c r="I579" s="160"/>
      <c r="J579" s="160"/>
      <c r="K579" s="160"/>
      <c r="L579" s="160"/>
      <c r="M579" s="160"/>
    </row>
    <row r="580" spans="2:13">
      <c r="B580" s="399"/>
      <c r="C580" s="160"/>
      <c r="D580" s="160"/>
      <c r="E580" s="160"/>
      <c r="F580" s="160"/>
      <c r="G580" s="160"/>
      <c r="H580" s="160"/>
      <c r="I580" s="160"/>
      <c r="J580" s="160"/>
      <c r="K580" s="160"/>
      <c r="L580" s="160"/>
      <c r="M580" s="160"/>
    </row>
    <row r="581" spans="2:13">
      <c r="B581" s="399"/>
      <c r="C581" s="160"/>
      <c r="D581" s="160"/>
      <c r="E581" s="160"/>
      <c r="F581" s="160"/>
      <c r="G581" s="160"/>
      <c r="H581" s="160"/>
      <c r="I581" s="160"/>
      <c r="J581" s="160"/>
      <c r="K581" s="160"/>
      <c r="L581" s="160"/>
      <c r="M581" s="160"/>
    </row>
    <row r="582" spans="2:13">
      <c r="B582" s="399"/>
      <c r="C582" s="160"/>
      <c r="D582" s="160"/>
      <c r="E582" s="160"/>
      <c r="F582" s="160"/>
      <c r="G582" s="160"/>
      <c r="H582" s="160"/>
      <c r="I582" s="160"/>
      <c r="J582" s="160"/>
      <c r="K582" s="160"/>
      <c r="L582" s="160"/>
      <c r="M582" s="160"/>
    </row>
    <row r="583" spans="2:13">
      <c r="B583" s="399"/>
      <c r="C583" s="160"/>
      <c r="D583" s="160"/>
      <c r="E583" s="160"/>
      <c r="F583" s="160"/>
      <c r="G583" s="160"/>
      <c r="H583" s="160"/>
      <c r="I583" s="160"/>
      <c r="J583" s="160"/>
      <c r="K583" s="160"/>
      <c r="L583" s="160"/>
      <c r="M583" s="160"/>
    </row>
    <row r="584" spans="2:13">
      <c r="B584" s="399"/>
      <c r="C584" s="160"/>
      <c r="D584" s="160"/>
      <c r="E584" s="160"/>
      <c r="F584" s="160"/>
      <c r="G584" s="160"/>
      <c r="H584" s="160"/>
      <c r="I584" s="160"/>
      <c r="J584" s="160"/>
      <c r="K584" s="160"/>
      <c r="L584" s="160"/>
      <c r="M584" s="160"/>
    </row>
    <row r="585" spans="2:13">
      <c r="B585" s="399"/>
      <c r="C585" s="160"/>
      <c r="D585" s="160"/>
      <c r="E585" s="160"/>
      <c r="F585" s="160"/>
      <c r="G585" s="160"/>
      <c r="H585" s="160"/>
      <c r="I585" s="160"/>
      <c r="J585" s="160"/>
      <c r="K585" s="160"/>
      <c r="L585" s="160"/>
      <c r="M585" s="160"/>
    </row>
    <row r="586" spans="2:13">
      <c r="B586" s="399"/>
      <c r="C586" s="160"/>
      <c r="D586" s="160"/>
      <c r="E586" s="160"/>
      <c r="F586" s="160"/>
      <c r="G586" s="160"/>
      <c r="H586" s="160"/>
      <c r="I586" s="160"/>
      <c r="J586" s="160"/>
      <c r="K586" s="160"/>
      <c r="L586" s="160"/>
      <c r="M586" s="160"/>
    </row>
    <row r="587" spans="2:13">
      <c r="B587" s="399"/>
      <c r="C587" s="160"/>
      <c r="D587" s="160"/>
      <c r="E587" s="160"/>
      <c r="F587" s="160"/>
      <c r="G587" s="160"/>
      <c r="H587" s="160"/>
      <c r="I587" s="160"/>
      <c r="J587" s="160"/>
      <c r="K587" s="160"/>
      <c r="L587" s="160"/>
      <c r="M587" s="160"/>
    </row>
    <row r="588" spans="2:13">
      <c r="B588" s="399"/>
      <c r="C588" s="160"/>
      <c r="D588" s="160"/>
      <c r="E588" s="160"/>
      <c r="F588" s="160"/>
      <c r="G588" s="160"/>
      <c r="H588" s="160"/>
      <c r="I588" s="160"/>
      <c r="J588" s="160"/>
      <c r="K588" s="160"/>
      <c r="L588" s="160"/>
      <c r="M588" s="160"/>
    </row>
    <row r="589" spans="2:13">
      <c r="B589" s="399"/>
      <c r="C589" s="160"/>
      <c r="D589" s="160"/>
      <c r="E589" s="160"/>
      <c r="F589" s="160"/>
      <c r="G589" s="160"/>
      <c r="H589" s="160"/>
      <c r="I589" s="160"/>
      <c r="J589" s="160"/>
      <c r="K589" s="160"/>
      <c r="L589" s="160"/>
      <c r="M589" s="160"/>
    </row>
    <row r="590" spans="2:13">
      <c r="B590" s="399"/>
      <c r="C590" s="160"/>
      <c r="D590" s="160"/>
      <c r="E590" s="160"/>
      <c r="F590" s="160"/>
      <c r="G590" s="160"/>
      <c r="H590" s="160"/>
      <c r="I590" s="160"/>
      <c r="J590" s="160"/>
      <c r="K590" s="160"/>
      <c r="L590" s="160"/>
      <c r="M590" s="160"/>
    </row>
    <row r="591" spans="2:13">
      <c r="B591" s="399"/>
      <c r="C591" s="160"/>
      <c r="D591" s="160"/>
      <c r="E591" s="160"/>
      <c r="F591" s="160"/>
      <c r="G591" s="160"/>
      <c r="H591" s="160"/>
      <c r="I591" s="160"/>
      <c r="J591" s="160"/>
      <c r="K591" s="160"/>
      <c r="L591" s="160"/>
      <c r="M591" s="160"/>
    </row>
    <row r="592" spans="2:13">
      <c r="B592" s="399"/>
      <c r="C592" s="160"/>
      <c r="D592" s="160"/>
      <c r="E592" s="160"/>
      <c r="F592" s="160"/>
      <c r="G592" s="160"/>
      <c r="H592" s="160"/>
      <c r="I592" s="160"/>
      <c r="J592" s="160"/>
      <c r="K592" s="160"/>
      <c r="L592" s="160"/>
      <c r="M592" s="160"/>
    </row>
    <row r="593" spans="2:13">
      <c r="B593" s="399"/>
      <c r="C593" s="160"/>
      <c r="D593" s="160"/>
      <c r="E593" s="160"/>
      <c r="F593" s="160"/>
      <c r="G593" s="160"/>
      <c r="H593" s="160"/>
      <c r="I593" s="160"/>
      <c r="J593" s="160"/>
      <c r="K593" s="160"/>
      <c r="L593" s="160"/>
      <c r="M593" s="160"/>
    </row>
    <row r="594" spans="2:13">
      <c r="B594" s="399"/>
      <c r="C594" s="160"/>
      <c r="D594" s="160"/>
      <c r="E594" s="160"/>
      <c r="F594" s="160"/>
      <c r="G594" s="160"/>
      <c r="H594" s="160"/>
      <c r="I594" s="160"/>
      <c r="J594" s="160"/>
      <c r="K594" s="160"/>
      <c r="L594" s="160"/>
      <c r="M594" s="160"/>
    </row>
    <row r="595" spans="2:13">
      <c r="B595" s="399"/>
      <c r="C595" s="160"/>
      <c r="D595" s="160"/>
      <c r="E595" s="160"/>
      <c r="F595" s="160"/>
      <c r="G595" s="160"/>
      <c r="H595" s="160"/>
      <c r="I595" s="160"/>
      <c r="J595" s="160"/>
      <c r="K595" s="160"/>
      <c r="L595" s="160"/>
      <c r="M595" s="160"/>
    </row>
    <row r="596" spans="2:13">
      <c r="B596" s="399"/>
      <c r="C596" s="160"/>
      <c r="D596" s="160"/>
      <c r="E596" s="160"/>
      <c r="F596" s="160"/>
      <c r="G596" s="160"/>
      <c r="H596" s="160"/>
      <c r="I596" s="160"/>
      <c r="J596" s="160"/>
      <c r="K596" s="160"/>
      <c r="L596" s="160"/>
      <c r="M596" s="160"/>
    </row>
    <row r="597" spans="2:13">
      <c r="B597" s="399"/>
      <c r="C597" s="160"/>
      <c r="D597" s="160"/>
      <c r="E597" s="160"/>
      <c r="F597" s="160"/>
      <c r="G597" s="160"/>
      <c r="H597" s="160"/>
      <c r="I597" s="160"/>
      <c r="J597" s="160"/>
      <c r="K597" s="160"/>
      <c r="L597" s="160"/>
      <c r="M597" s="160"/>
    </row>
    <row r="598" spans="2:13">
      <c r="B598" s="399"/>
      <c r="C598" s="160"/>
      <c r="D598" s="160"/>
      <c r="E598" s="160"/>
      <c r="F598" s="160"/>
      <c r="G598" s="160"/>
      <c r="H598" s="160"/>
      <c r="I598" s="160"/>
      <c r="J598" s="160"/>
      <c r="K598" s="160"/>
      <c r="L598" s="160"/>
      <c r="M598" s="160"/>
    </row>
    <row r="599" spans="2:13">
      <c r="B599" s="399"/>
      <c r="C599" s="160"/>
      <c r="D599" s="160"/>
      <c r="E599" s="160"/>
      <c r="F599" s="160"/>
      <c r="G599" s="160"/>
      <c r="H599" s="160"/>
      <c r="I599" s="160"/>
      <c r="J599" s="160"/>
      <c r="K599" s="160"/>
      <c r="L599" s="160"/>
      <c r="M599" s="160"/>
    </row>
    <row r="600" spans="2:13">
      <c r="B600" s="399"/>
      <c r="C600" s="160"/>
      <c r="D600" s="160"/>
      <c r="E600" s="160"/>
      <c r="F600" s="160"/>
      <c r="G600" s="160"/>
      <c r="H600" s="160"/>
      <c r="I600" s="160"/>
      <c r="J600" s="160"/>
      <c r="K600" s="160"/>
      <c r="L600" s="160"/>
      <c r="M600" s="160"/>
    </row>
    <row r="601" spans="2:13">
      <c r="B601" s="399"/>
      <c r="C601" s="160"/>
      <c r="D601" s="160"/>
      <c r="E601" s="160"/>
      <c r="F601" s="160"/>
      <c r="G601" s="160"/>
      <c r="H601" s="160"/>
      <c r="I601" s="160"/>
      <c r="J601" s="160"/>
      <c r="K601" s="160"/>
      <c r="L601" s="160"/>
      <c r="M601" s="160"/>
    </row>
    <row r="602" spans="2:13">
      <c r="B602" s="399"/>
      <c r="C602" s="160"/>
      <c r="D602" s="160"/>
      <c r="E602" s="160"/>
      <c r="F602" s="160"/>
      <c r="G602" s="160"/>
      <c r="H602" s="160"/>
      <c r="I602" s="160"/>
      <c r="J602" s="160"/>
      <c r="K602" s="160"/>
      <c r="L602" s="160"/>
      <c r="M602" s="160"/>
    </row>
    <row r="603" spans="2:13">
      <c r="B603" s="399"/>
      <c r="C603" s="160"/>
      <c r="D603" s="160"/>
      <c r="E603" s="160"/>
      <c r="F603" s="160"/>
      <c r="G603" s="160"/>
      <c r="H603" s="160"/>
      <c r="I603" s="160"/>
      <c r="J603" s="160"/>
      <c r="K603" s="160"/>
      <c r="L603" s="160"/>
      <c r="M603" s="160"/>
    </row>
    <row r="604" spans="2:13">
      <c r="B604" s="399"/>
      <c r="C604" s="160"/>
      <c r="D604" s="160"/>
      <c r="E604" s="160"/>
      <c r="F604" s="160"/>
      <c r="G604" s="160"/>
      <c r="H604" s="160"/>
      <c r="I604" s="160"/>
      <c r="J604" s="160"/>
      <c r="K604" s="160"/>
      <c r="L604" s="160"/>
      <c r="M604" s="160"/>
    </row>
    <row r="605" spans="2:13">
      <c r="B605" s="399"/>
      <c r="C605" s="160"/>
      <c r="D605" s="160"/>
      <c r="E605" s="160"/>
      <c r="F605" s="160"/>
      <c r="G605" s="160"/>
      <c r="H605" s="160"/>
      <c r="I605" s="160"/>
      <c r="J605" s="160"/>
      <c r="K605" s="160"/>
      <c r="L605" s="160"/>
      <c r="M605" s="160"/>
    </row>
    <row r="606" spans="2:13">
      <c r="B606" s="399"/>
      <c r="C606" s="160"/>
      <c r="D606" s="160"/>
      <c r="E606" s="160"/>
      <c r="F606" s="160"/>
      <c r="G606" s="160"/>
      <c r="H606" s="160"/>
      <c r="I606" s="160"/>
      <c r="J606" s="160"/>
      <c r="K606" s="160"/>
      <c r="L606" s="160"/>
      <c r="M606" s="160"/>
    </row>
    <row r="607" spans="2:13">
      <c r="B607" s="399"/>
      <c r="C607" s="160"/>
      <c r="D607" s="160"/>
      <c r="E607" s="160"/>
      <c r="F607" s="160"/>
      <c r="G607" s="160"/>
      <c r="H607" s="160"/>
      <c r="I607" s="160"/>
      <c r="J607" s="160"/>
      <c r="K607" s="160"/>
      <c r="L607" s="160"/>
      <c r="M607" s="160"/>
    </row>
    <row r="608" spans="2:13">
      <c r="B608" s="399"/>
      <c r="C608" s="160"/>
      <c r="D608" s="160"/>
      <c r="E608" s="160"/>
      <c r="F608" s="160"/>
      <c r="G608" s="160"/>
      <c r="H608" s="160"/>
      <c r="I608" s="160"/>
      <c r="J608" s="160"/>
      <c r="K608" s="160"/>
      <c r="L608" s="160"/>
      <c r="M608" s="160"/>
    </row>
    <row r="609" spans="2:13">
      <c r="B609" s="399"/>
      <c r="C609" s="160"/>
      <c r="D609" s="160"/>
      <c r="E609" s="160"/>
      <c r="F609" s="160"/>
      <c r="G609" s="160"/>
      <c r="H609" s="160"/>
      <c r="I609" s="160"/>
      <c r="J609" s="160"/>
      <c r="K609" s="160"/>
      <c r="L609" s="160"/>
      <c r="M609" s="160"/>
    </row>
    <row r="610" spans="2:13">
      <c r="B610" s="399"/>
      <c r="C610" s="160"/>
      <c r="D610" s="160"/>
      <c r="E610" s="160"/>
      <c r="F610" s="160"/>
      <c r="G610" s="160"/>
      <c r="H610" s="160"/>
      <c r="I610" s="160"/>
      <c r="J610" s="160"/>
      <c r="K610" s="160"/>
      <c r="L610" s="160"/>
      <c r="M610" s="160"/>
    </row>
    <row r="611" spans="2:13">
      <c r="B611" s="399"/>
      <c r="C611" s="160"/>
      <c r="D611" s="160"/>
      <c r="E611" s="160"/>
      <c r="F611" s="160"/>
      <c r="G611" s="160"/>
      <c r="H611" s="160"/>
      <c r="I611" s="160"/>
      <c r="J611" s="160"/>
      <c r="K611" s="160"/>
      <c r="L611" s="160"/>
      <c r="M611" s="160"/>
    </row>
    <row r="612" spans="2:13">
      <c r="B612" s="399"/>
      <c r="C612" s="160"/>
      <c r="D612" s="160"/>
      <c r="E612" s="160"/>
      <c r="F612" s="160"/>
      <c r="G612" s="160"/>
      <c r="H612" s="160"/>
      <c r="I612" s="160"/>
      <c r="J612" s="160"/>
      <c r="K612" s="160"/>
      <c r="L612" s="160"/>
      <c r="M612" s="160"/>
    </row>
    <row r="613" spans="2:13">
      <c r="B613" s="399"/>
      <c r="C613" s="160"/>
      <c r="D613" s="160"/>
      <c r="E613" s="160"/>
      <c r="F613" s="160"/>
      <c r="G613" s="160"/>
      <c r="H613" s="160"/>
      <c r="I613" s="160"/>
      <c r="J613" s="160"/>
      <c r="K613" s="160"/>
      <c r="L613" s="160"/>
      <c r="M613" s="160"/>
    </row>
    <row r="614" spans="2:13">
      <c r="B614" s="399"/>
      <c r="C614" s="160"/>
      <c r="D614" s="160"/>
      <c r="E614" s="160"/>
      <c r="F614" s="160"/>
      <c r="G614" s="160"/>
      <c r="H614" s="160"/>
      <c r="I614" s="160"/>
      <c r="J614" s="160"/>
      <c r="K614" s="160"/>
      <c r="L614" s="160"/>
      <c r="M614" s="160"/>
    </row>
    <row r="615" spans="2:13">
      <c r="B615" s="399"/>
      <c r="C615" s="160"/>
      <c r="D615" s="160"/>
      <c r="E615" s="160"/>
      <c r="F615" s="160"/>
      <c r="G615" s="160"/>
      <c r="H615" s="160"/>
      <c r="I615" s="160"/>
      <c r="J615" s="160"/>
      <c r="K615" s="160"/>
      <c r="L615" s="160"/>
      <c r="M615" s="160"/>
    </row>
    <row r="616" spans="2:13">
      <c r="B616" s="399"/>
      <c r="C616" s="160"/>
      <c r="D616" s="160"/>
      <c r="E616" s="160"/>
      <c r="F616" s="160"/>
      <c r="G616" s="160"/>
      <c r="H616" s="160"/>
      <c r="I616" s="160"/>
      <c r="J616" s="160"/>
      <c r="K616" s="160"/>
      <c r="L616" s="160"/>
      <c r="M616" s="160"/>
    </row>
    <row r="617" spans="2:13">
      <c r="B617" s="399"/>
      <c r="C617" s="160"/>
      <c r="D617" s="160"/>
      <c r="E617" s="160"/>
      <c r="F617" s="160"/>
      <c r="G617" s="160"/>
      <c r="H617" s="160"/>
      <c r="I617" s="160"/>
      <c r="J617" s="160"/>
      <c r="K617" s="160"/>
      <c r="L617" s="160"/>
      <c r="M617" s="160"/>
    </row>
    <row r="618" spans="2:13">
      <c r="B618" s="399"/>
      <c r="C618" s="160"/>
      <c r="D618" s="160"/>
      <c r="E618" s="160"/>
      <c r="F618" s="160"/>
      <c r="G618" s="160"/>
      <c r="H618" s="160"/>
      <c r="I618" s="160"/>
      <c r="J618" s="160"/>
      <c r="K618" s="160"/>
      <c r="L618" s="160"/>
      <c r="M618" s="160"/>
    </row>
    <row r="619" spans="2:13">
      <c r="B619" s="399"/>
      <c r="C619" s="160"/>
      <c r="D619" s="160"/>
      <c r="E619" s="160"/>
      <c r="F619" s="160"/>
      <c r="G619" s="160"/>
      <c r="H619" s="160"/>
      <c r="I619" s="160"/>
      <c r="J619" s="160"/>
      <c r="K619" s="160"/>
      <c r="L619" s="160"/>
      <c r="M619" s="160"/>
    </row>
    <row r="620" spans="2:13">
      <c r="B620" s="399"/>
      <c r="C620" s="160"/>
      <c r="D620" s="160"/>
      <c r="E620" s="160"/>
      <c r="F620" s="160"/>
      <c r="G620" s="160"/>
      <c r="H620" s="160"/>
      <c r="I620" s="160"/>
      <c r="J620" s="160"/>
      <c r="K620" s="160"/>
      <c r="L620" s="160"/>
      <c r="M620" s="160"/>
    </row>
    <row r="621" spans="2:13">
      <c r="B621" s="399"/>
      <c r="C621" s="160"/>
      <c r="D621" s="160"/>
      <c r="E621" s="160"/>
      <c r="F621" s="160"/>
      <c r="G621" s="160"/>
      <c r="H621" s="160"/>
      <c r="I621" s="160"/>
      <c r="J621" s="160"/>
      <c r="K621" s="160"/>
      <c r="L621" s="160"/>
      <c r="M621" s="160"/>
    </row>
    <row r="622" spans="2:13">
      <c r="B622" s="399"/>
      <c r="C622" s="160"/>
      <c r="D622" s="160"/>
      <c r="E622" s="160"/>
      <c r="F622" s="160"/>
      <c r="G622" s="160"/>
      <c r="H622" s="160"/>
      <c r="I622" s="160"/>
      <c r="J622" s="160"/>
      <c r="K622" s="160"/>
      <c r="L622" s="160"/>
      <c r="M622" s="160"/>
    </row>
    <row r="623" spans="2:13">
      <c r="B623" s="399"/>
      <c r="C623" s="160"/>
      <c r="D623" s="160"/>
      <c r="E623" s="160"/>
      <c r="F623" s="160"/>
      <c r="G623" s="160"/>
      <c r="H623" s="160"/>
      <c r="I623" s="160"/>
      <c r="J623" s="160"/>
      <c r="K623" s="160"/>
      <c r="L623" s="160"/>
      <c r="M623" s="160"/>
    </row>
    <row r="624" spans="2:13">
      <c r="B624" s="399"/>
      <c r="C624" s="160"/>
      <c r="D624" s="160"/>
      <c r="E624" s="160"/>
      <c r="F624" s="160"/>
      <c r="G624" s="160"/>
      <c r="H624" s="160"/>
      <c r="I624" s="160"/>
      <c r="J624" s="160"/>
      <c r="K624" s="160"/>
      <c r="L624" s="160"/>
      <c r="M624" s="160"/>
    </row>
    <row r="625" spans="2:13">
      <c r="B625" s="399"/>
      <c r="C625" s="160"/>
      <c r="D625" s="160"/>
      <c r="E625" s="160"/>
      <c r="F625" s="160"/>
      <c r="G625" s="160"/>
      <c r="H625" s="160"/>
      <c r="I625" s="160"/>
      <c r="J625" s="160"/>
      <c r="K625" s="160"/>
      <c r="L625" s="160"/>
      <c r="M625" s="160"/>
    </row>
    <row r="626" spans="2:13">
      <c r="B626" s="399"/>
      <c r="C626" s="160"/>
      <c r="D626" s="160"/>
      <c r="E626" s="160"/>
      <c r="F626" s="160"/>
      <c r="G626" s="160"/>
      <c r="H626" s="160"/>
      <c r="I626" s="160"/>
      <c r="J626" s="160"/>
      <c r="K626" s="160"/>
      <c r="L626" s="160"/>
      <c r="M626" s="160"/>
    </row>
    <row r="627" spans="2:13">
      <c r="B627" s="399"/>
      <c r="C627" s="160"/>
      <c r="D627" s="160"/>
      <c r="E627" s="160"/>
      <c r="F627" s="160"/>
      <c r="G627" s="160"/>
      <c r="H627" s="160"/>
      <c r="I627" s="160"/>
      <c r="J627" s="160"/>
      <c r="K627" s="160"/>
      <c r="L627" s="160"/>
      <c r="M627" s="160"/>
    </row>
    <row r="628" spans="2:13">
      <c r="B628" s="399"/>
      <c r="C628" s="160"/>
      <c r="D628" s="160"/>
      <c r="E628" s="160"/>
      <c r="F628" s="160"/>
      <c r="G628" s="160"/>
      <c r="H628" s="160"/>
      <c r="I628" s="160"/>
      <c r="J628" s="160"/>
      <c r="K628" s="160"/>
      <c r="L628" s="160"/>
      <c r="M628" s="160"/>
    </row>
    <row r="629" spans="2:13">
      <c r="B629" s="399"/>
      <c r="C629" s="160"/>
      <c r="D629" s="160"/>
      <c r="E629" s="160"/>
      <c r="F629" s="160"/>
      <c r="G629" s="160"/>
      <c r="H629" s="160"/>
      <c r="I629" s="160"/>
      <c r="J629" s="160"/>
      <c r="K629" s="160"/>
      <c r="L629" s="160"/>
      <c r="M629" s="160"/>
    </row>
    <row r="630" spans="2:13">
      <c r="B630" s="399"/>
      <c r="C630" s="160"/>
      <c r="D630" s="160"/>
      <c r="E630" s="160"/>
      <c r="F630" s="160"/>
      <c r="G630" s="160"/>
      <c r="H630" s="160"/>
      <c r="I630" s="160"/>
      <c r="J630" s="160"/>
      <c r="K630" s="160"/>
      <c r="L630" s="160"/>
      <c r="M630" s="160"/>
    </row>
    <row r="631" spans="2:13">
      <c r="B631" s="399"/>
      <c r="C631" s="160"/>
      <c r="D631" s="160"/>
      <c r="E631" s="160"/>
      <c r="F631" s="160"/>
      <c r="G631" s="160"/>
      <c r="H631" s="160"/>
      <c r="I631" s="160"/>
      <c r="J631" s="160"/>
      <c r="K631" s="160"/>
      <c r="L631" s="160"/>
      <c r="M631" s="160"/>
    </row>
    <row r="632" spans="2:13">
      <c r="B632" s="399"/>
      <c r="C632" s="160"/>
      <c r="D632" s="160"/>
      <c r="E632" s="160"/>
      <c r="F632" s="160"/>
      <c r="G632" s="160"/>
      <c r="H632" s="160"/>
      <c r="I632" s="160"/>
      <c r="J632" s="160"/>
      <c r="K632" s="160"/>
      <c r="L632" s="160"/>
      <c r="M632" s="160"/>
    </row>
    <row r="633" spans="2:13">
      <c r="B633" s="399"/>
      <c r="C633" s="160"/>
      <c r="D633" s="160"/>
      <c r="E633" s="160"/>
      <c r="F633" s="160"/>
      <c r="G633" s="160"/>
      <c r="H633" s="160"/>
      <c r="I633" s="160"/>
      <c r="J633" s="160"/>
      <c r="K633" s="160"/>
      <c r="L633" s="160"/>
      <c r="M633" s="160"/>
    </row>
    <row r="634" spans="2:13">
      <c r="B634" s="399"/>
      <c r="C634" s="160"/>
      <c r="D634" s="160"/>
      <c r="E634" s="160"/>
      <c r="F634" s="160"/>
      <c r="G634" s="160"/>
      <c r="H634" s="160"/>
      <c r="I634" s="160"/>
      <c r="J634" s="160"/>
      <c r="K634" s="160"/>
      <c r="L634" s="160"/>
      <c r="M634" s="160"/>
    </row>
    <row r="635" spans="2:13">
      <c r="B635" s="399"/>
      <c r="C635" s="160"/>
      <c r="D635" s="160"/>
      <c r="E635" s="160"/>
      <c r="F635" s="160"/>
      <c r="G635" s="160"/>
      <c r="H635" s="160"/>
      <c r="I635" s="160"/>
      <c r="J635" s="160"/>
      <c r="K635" s="160"/>
      <c r="L635" s="160"/>
      <c r="M635" s="160"/>
    </row>
    <row r="636" spans="2:13">
      <c r="B636" s="399"/>
      <c r="C636" s="160"/>
      <c r="D636" s="160"/>
      <c r="E636" s="160"/>
      <c r="F636" s="160"/>
      <c r="G636" s="160"/>
      <c r="H636" s="160"/>
      <c r="I636" s="160"/>
      <c r="J636" s="160"/>
      <c r="K636" s="160"/>
      <c r="L636" s="160"/>
      <c r="M636" s="160"/>
    </row>
    <row r="637" spans="2:13">
      <c r="B637" s="399"/>
      <c r="C637" s="160"/>
      <c r="D637" s="160"/>
      <c r="E637" s="160"/>
      <c r="F637" s="160"/>
      <c r="G637" s="160"/>
      <c r="H637" s="160"/>
      <c r="I637" s="160"/>
      <c r="J637" s="160"/>
      <c r="K637" s="160"/>
      <c r="L637" s="160"/>
      <c r="M637" s="160"/>
    </row>
    <row r="638" spans="2:13">
      <c r="B638" s="399"/>
      <c r="C638" s="160"/>
      <c r="D638" s="160"/>
      <c r="E638" s="160"/>
      <c r="F638" s="160"/>
      <c r="G638" s="160"/>
      <c r="H638" s="160"/>
      <c r="I638" s="160"/>
      <c r="J638" s="160"/>
      <c r="K638" s="160"/>
      <c r="L638" s="160"/>
      <c r="M638" s="160"/>
    </row>
    <row r="639" spans="2:13">
      <c r="B639" s="399"/>
      <c r="C639" s="160"/>
      <c r="D639" s="160"/>
      <c r="E639" s="160"/>
      <c r="F639" s="160"/>
      <c r="G639" s="160"/>
      <c r="H639" s="160"/>
      <c r="I639" s="160"/>
      <c r="J639" s="160"/>
      <c r="K639" s="160"/>
      <c r="L639" s="160"/>
      <c r="M639" s="160"/>
    </row>
    <row r="640" spans="2:13">
      <c r="B640" s="399"/>
      <c r="C640" s="160"/>
      <c r="D640" s="160"/>
      <c r="E640" s="160"/>
      <c r="F640" s="160"/>
      <c r="G640" s="160"/>
      <c r="H640" s="160"/>
      <c r="I640" s="160"/>
      <c r="J640" s="160"/>
      <c r="K640" s="160"/>
      <c r="L640" s="160"/>
      <c r="M640" s="160"/>
    </row>
    <row r="641" spans="2:13">
      <c r="B641" s="399"/>
      <c r="C641" s="160"/>
      <c r="D641" s="160"/>
      <c r="E641" s="160"/>
      <c r="F641" s="160"/>
      <c r="G641" s="160"/>
      <c r="H641" s="160"/>
      <c r="I641" s="160"/>
      <c r="J641" s="160"/>
      <c r="K641" s="160"/>
      <c r="L641" s="160"/>
      <c r="M641" s="160"/>
    </row>
    <row r="642" spans="2:13">
      <c r="B642" s="399"/>
      <c r="C642" s="160"/>
      <c r="D642" s="160"/>
      <c r="E642" s="160"/>
      <c r="F642" s="160"/>
      <c r="G642" s="160"/>
      <c r="H642" s="160"/>
      <c r="I642" s="160"/>
      <c r="J642" s="160"/>
      <c r="K642" s="160"/>
      <c r="L642" s="160"/>
      <c r="M642" s="160"/>
    </row>
    <row r="643" spans="2:13">
      <c r="B643" s="399"/>
      <c r="C643" s="160"/>
      <c r="D643" s="160"/>
      <c r="E643" s="160"/>
      <c r="F643" s="160"/>
      <c r="G643" s="160"/>
      <c r="H643" s="160"/>
      <c r="I643" s="160"/>
      <c r="J643" s="160"/>
      <c r="K643" s="160"/>
      <c r="L643" s="160"/>
      <c r="M643" s="160"/>
    </row>
    <row r="644" spans="2:13">
      <c r="B644" s="399"/>
      <c r="C644" s="160"/>
      <c r="D644" s="160"/>
      <c r="E644" s="160"/>
      <c r="F644" s="160"/>
      <c r="G644" s="160"/>
      <c r="H644" s="160"/>
      <c r="I644" s="160"/>
      <c r="J644" s="160"/>
      <c r="K644" s="160"/>
      <c r="L644" s="160"/>
      <c r="M644" s="160"/>
    </row>
    <row r="645" spans="2:13">
      <c r="B645" s="399"/>
      <c r="C645" s="160"/>
      <c r="D645" s="160"/>
      <c r="E645" s="160"/>
      <c r="F645" s="160"/>
      <c r="G645" s="160"/>
      <c r="H645" s="160"/>
      <c r="I645" s="160"/>
      <c r="J645" s="160"/>
      <c r="K645" s="160"/>
      <c r="L645" s="160"/>
      <c r="M645" s="160"/>
    </row>
    <row r="646" spans="2:13">
      <c r="B646" s="399"/>
      <c r="C646" s="160"/>
      <c r="D646" s="160"/>
      <c r="E646" s="160"/>
      <c r="F646" s="160"/>
      <c r="G646" s="160"/>
      <c r="H646" s="160"/>
      <c r="I646" s="160"/>
      <c r="J646" s="160"/>
      <c r="K646" s="160"/>
      <c r="L646" s="160"/>
      <c r="M646" s="160"/>
    </row>
    <row r="647" spans="2:13">
      <c r="B647" s="399"/>
      <c r="C647" s="160"/>
      <c r="D647" s="160"/>
      <c r="E647" s="160"/>
      <c r="F647" s="160"/>
      <c r="G647" s="160"/>
      <c r="H647" s="160"/>
      <c r="I647" s="160"/>
      <c r="J647" s="160"/>
      <c r="K647" s="160"/>
      <c r="L647" s="160"/>
      <c r="M647" s="160"/>
    </row>
    <row r="648" spans="2:13">
      <c r="B648" s="399"/>
      <c r="C648" s="160"/>
      <c r="D648" s="160"/>
      <c r="E648" s="160"/>
      <c r="F648" s="160"/>
      <c r="G648" s="160"/>
      <c r="H648" s="160"/>
      <c r="I648" s="160"/>
      <c r="J648" s="160"/>
      <c r="K648" s="160"/>
      <c r="L648" s="160"/>
      <c r="M648" s="160"/>
    </row>
    <row r="649" spans="2:13">
      <c r="B649" s="399"/>
      <c r="C649" s="160"/>
      <c r="D649" s="160"/>
      <c r="E649" s="160"/>
      <c r="F649" s="160"/>
      <c r="G649" s="160"/>
      <c r="H649" s="160"/>
      <c r="I649" s="160"/>
      <c r="J649" s="160"/>
      <c r="K649" s="160"/>
      <c r="L649" s="160"/>
      <c r="M649" s="160"/>
    </row>
    <row r="650" spans="2:13">
      <c r="B650" s="399"/>
      <c r="C650" s="160"/>
      <c r="D650" s="160"/>
      <c r="E650" s="160"/>
      <c r="F650" s="160"/>
      <c r="G650" s="160"/>
      <c r="H650" s="160"/>
      <c r="I650" s="160"/>
      <c r="J650" s="160"/>
      <c r="K650" s="160"/>
      <c r="L650" s="160"/>
      <c r="M650" s="160"/>
    </row>
    <row r="651" spans="2:13">
      <c r="B651" s="399"/>
      <c r="C651" s="160"/>
      <c r="D651" s="160"/>
      <c r="E651" s="160"/>
      <c r="F651" s="160"/>
      <c r="G651" s="160"/>
      <c r="H651" s="160"/>
      <c r="I651" s="160"/>
      <c r="J651" s="160"/>
      <c r="K651" s="160"/>
      <c r="L651" s="160"/>
      <c r="M651" s="160"/>
    </row>
    <row r="652" spans="2:13">
      <c r="B652" s="399"/>
      <c r="C652" s="160"/>
      <c r="D652" s="160"/>
      <c r="E652" s="160"/>
      <c r="F652" s="160"/>
      <c r="G652" s="160"/>
      <c r="H652" s="160"/>
      <c r="I652" s="160"/>
      <c r="J652" s="160"/>
      <c r="K652" s="160"/>
      <c r="L652" s="160"/>
      <c r="M652" s="160"/>
    </row>
    <row r="653" spans="2:13">
      <c r="B653" s="399"/>
      <c r="C653" s="160"/>
      <c r="D653" s="160"/>
      <c r="E653" s="160"/>
      <c r="F653" s="160"/>
      <c r="G653" s="160"/>
      <c r="H653" s="160"/>
      <c r="I653" s="160"/>
      <c r="J653" s="160"/>
      <c r="K653" s="160"/>
      <c r="L653" s="160"/>
      <c r="M653" s="160"/>
    </row>
    <row r="654" spans="2:13">
      <c r="B654" s="399"/>
      <c r="C654" s="160"/>
      <c r="D654" s="160"/>
      <c r="E654" s="160"/>
      <c r="F654" s="160"/>
      <c r="G654" s="160"/>
      <c r="H654" s="160"/>
      <c r="I654" s="160"/>
      <c r="J654" s="160"/>
      <c r="K654" s="160"/>
      <c r="L654" s="160"/>
      <c r="M654" s="160"/>
    </row>
    <row r="655" spans="2:13">
      <c r="B655" s="399"/>
      <c r="C655" s="160"/>
      <c r="D655" s="160"/>
      <c r="E655" s="160"/>
      <c r="F655" s="160"/>
      <c r="G655" s="160"/>
      <c r="H655" s="160"/>
      <c r="I655" s="160"/>
      <c r="J655" s="160"/>
      <c r="K655" s="160"/>
      <c r="L655" s="160"/>
      <c r="M655" s="160"/>
    </row>
    <row r="656" spans="2:13">
      <c r="B656" s="399"/>
      <c r="C656" s="160"/>
      <c r="D656" s="160"/>
      <c r="E656" s="160"/>
      <c r="F656" s="160"/>
      <c r="G656" s="160"/>
      <c r="H656" s="160"/>
      <c r="I656" s="160"/>
      <c r="J656" s="160"/>
      <c r="K656" s="160"/>
      <c r="L656" s="160"/>
      <c r="M656" s="160"/>
    </row>
    <row r="657" spans="2:13">
      <c r="B657" s="399"/>
      <c r="C657" s="160"/>
      <c r="D657" s="160"/>
      <c r="E657" s="160"/>
      <c r="F657" s="160"/>
      <c r="G657" s="160"/>
      <c r="H657" s="160"/>
      <c r="I657" s="160"/>
      <c r="J657" s="160"/>
      <c r="K657" s="160"/>
      <c r="L657" s="160"/>
      <c r="M657" s="160"/>
    </row>
    <row r="658" spans="2:13">
      <c r="B658" s="399"/>
      <c r="C658" s="160"/>
      <c r="D658" s="160"/>
      <c r="E658" s="160"/>
      <c r="F658" s="160"/>
      <c r="G658" s="160"/>
      <c r="H658" s="160"/>
      <c r="I658" s="160"/>
      <c r="J658" s="160"/>
      <c r="K658" s="160"/>
      <c r="L658" s="160"/>
      <c r="M658" s="160"/>
    </row>
    <row r="659" spans="2:13">
      <c r="B659" s="399"/>
      <c r="C659" s="160"/>
      <c r="D659" s="160"/>
      <c r="E659" s="160"/>
      <c r="F659" s="160"/>
      <c r="G659" s="160"/>
      <c r="H659" s="160"/>
      <c r="I659" s="160"/>
      <c r="J659" s="160"/>
      <c r="K659" s="160"/>
      <c r="L659" s="160"/>
      <c r="M659" s="160"/>
    </row>
    <row r="660" spans="2:13">
      <c r="B660" s="399"/>
      <c r="C660" s="160"/>
      <c r="D660" s="160"/>
      <c r="E660" s="160"/>
      <c r="F660" s="160"/>
      <c r="G660" s="160"/>
      <c r="H660" s="160"/>
      <c r="I660" s="160"/>
      <c r="J660" s="160"/>
      <c r="K660" s="160"/>
      <c r="L660" s="160"/>
      <c r="M660" s="160"/>
    </row>
    <row r="661" spans="2:13">
      <c r="B661" s="399"/>
      <c r="C661" s="160"/>
      <c r="D661" s="160"/>
      <c r="E661" s="160"/>
      <c r="F661" s="160"/>
      <c r="G661" s="160"/>
      <c r="H661" s="160"/>
      <c r="I661" s="160"/>
      <c r="J661" s="160"/>
      <c r="K661" s="160"/>
      <c r="L661" s="160"/>
      <c r="M661" s="160"/>
    </row>
    <row r="662" spans="2:13">
      <c r="B662" s="399"/>
      <c r="C662" s="160"/>
      <c r="D662" s="160"/>
      <c r="E662" s="160"/>
      <c r="F662" s="160"/>
      <c r="G662" s="160"/>
      <c r="H662" s="160"/>
      <c r="I662" s="160"/>
      <c r="J662" s="160"/>
      <c r="K662" s="160"/>
      <c r="L662" s="160"/>
      <c r="M662" s="160"/>
    </row>
    <row r="663" spans="2:13">
      <c r="B663" s="399"/>
      <c r="C663" s="160"/>
      <c r="D663" s="160"/>
      <c r="E663" s="160"/>
      <c r="F663" s="160"/>
      <c r="G663" s="160"/>
      <c r="H663" s="160"/>
      <c r="I663" s="160"/>
      <c r="J663" s="160"/>
      <c r="K663" s="160"/>
      <c r="L663" s="160"/>
      <c r="M663" s="160"/>
    </row>
    <row r="664" spans="2:13">
      <c r="B664" s="399"/>
      <c r="C664" s="160"/>
      <c r="D664" s="160"/>
      <c r="E664" s="160"/>
      <c r="F664" s="160"/>
      <c r="G664" s="160"/>
      <c r="H664" s="160"/>
      <c r="I664" s="160"/>
      <c r="J664" s="160"/>
      <c r="K664" s="160"/>
      <c r="L664" s="160"/>
      <c r="M664" s="160"/>
    </row>
    <row r="665" spans="2:13">
      <c r="B665" s="399"/>
      <c r="C665" s="160"/>
      <c r="D665" s="160"/>
      <c r="E665" s="160"/>
      <c r="F665" s="160"/>
      <c r="G665" s="160"/>
      <c r="H665" s="160"/>
      <c r="I665" s="160"/>
      <c r="J665" s="160"/>
      <c r="K665" s="160"/>
      <c r="L665" s="160"/>
      <c r="M665" s="160"/>
    </row>
    <row r="666" spans="2:13">
      <c r="B666" s="399"/>
      <c r="C666" s="160"/>
      <c r="D666" s="160"/>
      <c r="E666" s="160"/>
      <c r="F666" s="160"/>
      <c r="G666" s="160"/>
      <c r="H666" s="160"/>
      <c r="I666" s="160"/>
      <c r="J666" s="160"/>
      <c r="K666" s="160"/>
      <c r="L666" s="160"/>
      <c r="M666" s="160"/>
    </row>
    <row r="667" spans="2:13">
      <c r="B667" s="399"/>
      <c r="C667" s="160"/>
      <c r="D667" s="160"/>
      <c r="E667" s="160"/>
      <c r="F667" s="160"/>
      <c r="G667" s="160"/>
      <c r="H667" s="160"/>
      <c r="I667" s="160"/>
      <c r="J667" s="160"/>
      <c r="K667" s="160"/>
      <c r="L667" s="160"/>
      <c r="M667" s="160"/>
    </row>
    <row r="668" spans="2:13">
      <c r="B668" s="399"/>
      <c r="C668" s="160"/>
      <c r="D668" s="160"/>
      <c r="E668" s="160"/>
      <c r="F668" s="160"/>
      <c r="G668" s="160"/>
      <c r="H668" s="160"/>
      <c r="I668" s="160"/>
      <c r="J668" s="160"/>
      <c r="K668" s="160"/>
      <c r="L668" s="160"/>
      <c r="M668" s="160"/>
    </row>
    <row r="669" spans="2:13">
      <c r="B669" s="399"/>
      <c r="C669" s="160"/>
      <c r="D669" s="160"/>
      <c r="E669" s="160"/>
      <c r="F669" s="160"/>
      <c r="G669" s="160"/>
      <c r="H669" s="160"/>
      <c r="I669" s="160"/>
      <c r="J669" s="160"/>
      <c r="K669" s="160"/>
      <c r="L669" s="160"/>
      <c r="M669" s="160"/>
    </row>
    <row r="670" spans="2:13">
      <c r="B670" s="399"/>
      <c r="C670" s="160"/>
      <c r="D670" s="160"/>
      <c r="E670" s="160"/>
      <c r="F670" s="160"/>
      <c r="G670" s="160"/>
      <c r="H670" s="160"/>
      <c r="I670" s="160"/>
      <c r="J670" s="160"/>
      <c r="K670" s="160"/>
      <c r="L670" s="160"/>
      <c r="M670" s="160"/>
    </row>
    <row r="671" spans="2:13">
      <c r="B671" s="399"/>
      <c r="C671" s="160"/>
      <c r="D671" s="160"/>
      <c r="E671" s="160"/>
      <c r="F671" s="160"/>
      <c r="G671" s="160"/>
      <c r="H671" s="160"/>
      <c r="I671" s="160"/>
      <c r="J671" s="160"/>
      <c r="K671" s="160"/>
      <c r="L671" s="160"/>
      <c r="M671" s="160"/>
    </row>
    <row r="672" spans="2:13">
      <c r="B672" s="399"/>
      <c r="C672" s="160"/>
      <c r="D672" s="160"/>
      <c r="E672" s="160"/>
      <c r="F672" s="160"/>
      <c r="G672" s="160"/>
      <c r="H672" s="160"/>
      <c r="I672" s="160"/>
      <c r="J672" s="160"/>
      <c r="K672" s="160"/>
      <c r="L672" s="160"/>
      <c r="M672" s="160"/>
    </row>
    <row r="673" spans="2:13">
      <c r="B673" s="399"/>
      <c r="C673" s="160"/>
      <c r="D673" s="160"/>
      <c r="E673" s="160"/>
      <c r="F673" s="160"/>
      <c r="G673" s="160"/>
      <c r="H673" s="160"/>
      <c r="I673" s="160"/>
      <c r="J673" s="160"/>
      <c r="K673" s="160"/>
      <c r="L673" s="160"/>
      <c r="M673" s="160"/>
    </row>
    <row r="674" spans="2:13">
      <c r="B674" s="399"/>
      <c r="C674" s="160"/>
      <c r="D674" s="160"/>
      <c r="E674" s="160"/>
      <c r="F674" s="160"/>
      <c r="G674" s="160"/>
      <c r="H674" s="160"/>
      <c r="I674" s="160"/>
      <c r="J674" s="160"/>
      <c r="K674" s="160"/>
      <c r="L674" s="160"/>
      <c r="M674" s="160"/>
    </row>
    <row r="675" spans="2:13">
      <c r="B675" s="399"/>
      <c r="C675" s="160"/>
      <c r="D675" s="160"/>
      <c r="E675" s="160"/>
      <c r="F675" s="160"/>
      <c r="G675" s="160"/>
      <c r="H675" s="160"/>
      <c r="I675" s="160"/>
      <c r="J675" s="160"/>
      <c r="K675" s="160"/>
      <c r="L675" s="160"/>
      <c r="M675" s="160"/>
    </row>
    <row r="676" spans="2:13">
      <c r="B676" s="399"/>
      <c r="C676" s="160"/>
      <c r="D676" s="160"/>
      <c r="E676" s="160"/>
      <c r="F676" s="160"/>
      <c r="G676" s="160"/>
      <c r="H676" s="160"/>
      <c r="I676" s="160"/>
      <c r="J676" s="160"/>
      <c r="K676" s="160"/>
      <c r="L676" s="160"/>
      <c r="M676" s="160"/>
    </row>
    <row r="677" spans="2:13">
      <c r="B677" s="399"/>
      <c r="C677" s="160"/>
      <c r="D677" s="160"/>
      <c r="E677" s="160"/>
      <c r="F677" s="160"/>
      <c r="G677" s="160"/>
      <c r="H677" s="160"/>
      <c r="I677" s="160"/>
      <c r="J677" s="160"/>
      <c r="K677" s="160"/>
      <c r="L677" s="160"/>
      <c r="M677" s="160"/>
    </row>
    <row r="678" spans="2:13">
      <c r="B678" s="399"/>
      <c r="C678" s="160"/>
      <c r="D678" s="160"/>
      <c r="E678" s="160"/>
      <c r="F678" s="160"/>
      <c r="G678" s="160"/>
      <c r="H678" s="160"/>
      <c r="I678" s="160"/>
      <c r="J678" s="160"/>
      <c r="K678" s="160"/>
      <c r="L678" s="160"/>
      <c r="M678" s="160"/>
    </row>
    <row r="679" spans="2:13">
      <c r="B679" s="399"/>
      <c r="C679" s="160"/>
      <c r="D679" s="160"/>
      <c r="E679" s="160"/>
      <c r="F679" s="160"/>
      <c r="G679" s="160"/>
      <c r="H679" s="160"/>
      <c r="I679" s="160"/>
      <c r="J679" s="160"/>
      <c r="K679" s="160"/>
      <c r="L679" s="160"/>
      <c r="M679" s="160"/>
    </row>
    <row r="680" spans="2:13">
      <c r="B680" s="399"/>
      <c r="C680" s="160"/>
      <c r="D680" s="160"/>
      <c r="E680" s="160"/>
      <c r="F680" s="160"/>
      <c r="G680" s="160"/>
      <c r="H680" s="160"/>
      <c r="I680" s="160"/>
      <c r="J680" s="160"/>
      <c r="K680" s="160"/>
      <c r="L680" s="160"/>
      <c r="M680" s="160"/>
    </row>
    <row r="681" spans="2:13">
      <c r="B681" s="399"/>
      <c r="C681" s="160"/>
      <c r="D681" s="160"/>
      <c r="E681" s="160"/>
      <c r="F681" s="160"/>
      <c r="G681" s="160"/>
      <c r="H681" s="160"/>
      <c r="I681" s="160"/>
      <c r="J681" s="160"/>
      <c r="K681" s="160"/>
      <c r="L681" s="160"/>
      <c r="M681" s="160"/>
    </row>
    <row r="682" spans="2:13">
      <c r="B682" s="399"/>
      <c r="C682" s="160"/>
      <c r="D682" s="160"/>
      <c r="E682" s="160"/>
      <c r="F682" s="160"/>
      <c r="G682" s="160"/>
      <c r="H682" s="160"/>
      <c r="I682" s="160"/>
      <c r="J682" s="160"/>
      <c r="K682" s="160"/>
      <c r="L682" s="160"/>
      <c r="M682" s="160"/>
    </row>
    <row r="683" spans="2:13">
      <c r="B683" s="399"/>
      <c r="C683" s="160"/>
      <c r="D683" s="160"/>
      <c r="E683" s="160"/>
      <c r="F683" s="160"/>
      <c r="G683" s="160"/>
      <c r="H683" s="160"/>
      <c r="I683" s="160"/>
      <c r="J683" s="160"/>
      <c r="K683" s="160"/>
      <c r="L683" s="160"/>
      <c r="M683" s="160"/>
    </row>
    <row r="684" spans="2:13">
      <c r="B684" s="399"/>
      <c r="C684" s="160"/>
      <c r="D684" s="160"/>
      <c r="E684" s="160"/>
      <c r="F684" s="160"/>
      <c r="G684" s="160"/>
      <c r="H684" s="160"/>
      <c r="I684" s="160"/>
      <c r="J684" s="160"/>
      <c r="K684" s="160"/>
      <c r="L684" s="160"/>
      <c r="M684" s="160"/>
    </row>
    <row r="685" spans="2:13">
      <c r="B685" s="399"/>
      <c r="C685" s="160"/>
      <c r="D685" s="160"/>
      <c r="E685" s="160"/>
      <c r="F685" s="160"/>
      <c r="G685" s="160"/>
      <c r="H685" s="160"/>
      <c r="I685" s="160"/>
      <c r="J685" s="160"/>
      <c r="K685" s="160"/>
      <c r="L685" s="160"/>
      <c r="M685" s="160"/>
    </row>
    <row r="686" spans="2:13">
      <c r="B686" s="399"/>
      <c r="C686" s="160"/>
      <c r="D686" s="160"/>
      <c r="E686" s="160"/>
      <c r="F686" s="160"/>
      <c r="G686" s="160"/>
      <c r="H686" s="160"/>
      <c r="I686" s="160"/>
      <c r="J686" s="160"/>
      <c r="K686" s="160"/>
      <c r="L686" s="160"/>
      <c r="M686" s="160"/>
    </row>
    <row r="687" spans="2:13">
      <c r="B687" s="399"/>
      <c r="C687" s="160"/>
      <c r="D687" s="160"/>
      <c r="E687" s="160"/>
      <c r="F687" s="160"/>
      <c r="G687" s="160"/>
      <c r="H687" s="160"/>
      <c r="I687" s="160"/>
      <c r="J687" s="160"/>
      <c r="K687" s="160"/>
      <c r="L687" s="160"/>
      <c r="M687" s="160"/>
    </row>
    <row r="688" spans="2:13">
      <c r="B688" s="399"/>
      <c r="C688" s="160"/>
      <c r="D688" s="160"/>
      <c r="E688" s="160"/>
      <c r="F688" s="160"/>
      <c r="G688" s="160"/>
      <c r="H688" s="160"/>
      <c r="I688" s="160"/>
      <c r="J688" s="160"/>
      <c r="K688" s="160"/>
      <c r="L688" s="160"/>
      <c r="M688" s="160"/>
    </row>
    <row r="689" spans="2:13">
      <c r="B689" s="399"/>
      <c r="C689" s="160"/>
      <c r="D689" s="160"/>
      <c r="E689" s="160"/>
      <c r="F689" s="160"/>
      <c r="G689" s="160"/>
      <c r="H689" s="160"/>
      <c r="I689" s="160"/>
      <c r="J689" s="160"/>
      <c r="K689" s="160"/>
      <c r="L689" s="160"/>
      <c r="M689" s="160"/>
    </row>
    <row r="690" spans="2:13">
      <c r="B690" s="399"/>
      <c r="C690" s="160"/>
      <c r="D690" s="160"/>
      <c r="E690" s="160"/>
      <c r="F690" s="160"/>
      <c r="G690" s="160"/>
      <c r="H690" s="160"/>
      <c r="I690" s="160"/>
      <c r="J690" s="160"/>
      <c r="K690" s="160"/>
      <c r="L690" s="160"/>
      <c r="M690" s="160"/>
    </row>
    <row r="691" spans="2:13">
      <c r="B691" s="399"/>
      <c r="C691" s="160"/>
      <c r="D691" s="160"/>
      <c r="E691" s="160"/>
      <c r="F691" s="160"/>
      <c r="G691" s="160"/>
      <c r="H691" s="160"/>
      <c r="I691" s="160"/>
      <c r="J691" s="160"/>
      <c r="K691" s="160"/>
      <c r="L691" s="160"/>
      <c r="M691" s="160"/>
    </row>
    <row r="692" spans="2:13">
      <c r="B692" s="399"/>
      <c r="C692" s="160"/>
      <c r="D692" s="160"/>
      <c r="E692" s="160"/>
      <c r="F692" s="160"/>
      <c r="G692" s="160"/>
      <c r="H692" s="160"/>
      <c r="I692" s="160"/>
      <c r="J692" s="160"/>
      <c r="K692" s="160"/>
      <c r="L692" s="160"/>
      <c r="M692" s="160"/>
    </row>
    <row r="693" spans="2:13">
      <c r="B693" s="399"/>
      <c r="C693" s="160"/>
      <c r="D693" s="160"/>
      <c r="E693" s="160"/>
      <c r="F693" s="160"/>
      <c r="G693" s="160"/>
      <c r="H693" s="160"/>
      <c r="I693" s="160"/>
      <c r="J693" s="160"/>
      <c r="K693" s="160"/>
      <c r="L693" s="160"/>
      <c r="M693" s="160"/>
    </row>
    <row r="694" spans="2:13">
      <c r="B694" s="399"/>
      <c r="C694" s="160"/>
      <c r="D694" s="160"/>
      <c r="E694" s="160"/>
      <c r="F694" s="160"/>
      <c r="G694" s="160"/>
      <c r="H694" s="160"/>
      <c r="I694" s="160"/>
      <c r="J694" s="160"/>
      <c r="K694" s="160"/>
      <c r="L694" s="160"/>
      <c r="M694" s="160"/>
    </row>
    <row r="695" spans="2:13">
      <c r="B695" s="399"/>
      <c r="C695" s="160"/>
      <c r="D695" s="160"/>
      <c r="E695" s="160"/>
      <c r="F695" s="160"/>
      <c r="G695" s="160"/>
      <c r="H695" s="160"/>
      <c r="I695" s="160"/>
      <c r="J695" s="160"/>
      <c r="K695" s="160"/>
      <c r="L695" s="160"/>
      <c r="M695" s="160"/>
    </row>
    <row r="696" spans="2:13">
      <c r="B696" s="399"/>
      <c r="C696" s="160"/>
      <c r="D696" s="160"/>
      <c r="E696" s="160"/>
      <c r="F696" s="160"/>
      <c r="G696" s="160"/>
      <c r="H696" s="160"/>
      <c r="I696" s="160"/>
      <c r="J696" s="160"/>
      <c r="K696" s="160"/>
      <c r="L696" s="160"/>
      <c r="M696" s="160"/>
    </row>
    <row r="697" spans="2:13">
      <c r="B697" s="399"/>
      <c r="C697" s="160"/>
      <c r="D697" s="160"/>
      <c r="E697" s="160"/>
      <c r="F697" s="160"/>
      <c r="G697" s="160"/>
      <c r="H697" s="160"/>
      <c r="I697" s="160"/>
      <c r="J697" s="160"/>
      <c r="K697" s="160"/>
      <c r="L697" s="160"/>
      <c r="M697" s="160"/>
    </row>
    <row r="698" spans="2:13">
      <c r="B698" s="399"/>
      <c r="C698" s="160"/>
      <c r="D698" s="160"/>
      <c r="E698" s="160"/>
      <c r="F698" s="160"/>
      <c r="G698" s="160"/>
      <c r="H698" s="160"/>
      <c r="I698" s="160"/>
      <c r="J698" s="160"/>
      <c r="K698" s="160"/>
      <c r="L698" s="160"/>
      <c r="M698" s="160"/>
    </row>
    <row r="699" spans="2:13">
      <c r="B699" s="399"/>
      <c r="C699" s="160"/>
      <c r="D699" s="160"/>
      <c r="E699" s="160"/>
      <c r="F699" s="160"/>
      <c r="G699" s="160"/>
      <c r="H699" s="160"/>
      <c r="I699" s="160"/>
      <c r="J699" s="160"/>
      <c r="K699" s="160"/>
      <c r="L699" s="160"/>
      <c r="M699" s="160"/>
    </row>
    <row r="700" spans="2:13">
      <c r="B700" s="399"/>
      <c r="C700" s="160"/>
      <c r="D700" s="160"/>
      <c r="E700" s="160"/>
      <c r="F700" s="160"/>
      <c r="G700" s="160"/>
      <c r="H700" s="160"/>
      <c r="I700" s="160"/>
      <c r="J700" s="160"/>
      <c r="K700" s="160"/>
      <c r="L700" s="160"/>
      <c r="M700" s="160"/>
    </row>
    <row r="701" spans="2:13">
      <c r="B701" s="399"/>
      <c r="C701" s="160"/>
      <c r="D701" s="160"/>
      <c r="E701" s="160"/>
      <c r="F701" s="160"/>
      <c r="G701" s="160"/>
      <c r="H701" s="160"/>
      <c r="I701" s="160"/>
      <c r="J701" s="160"/>
      <c r="K701" s="160"/>
      <c r="L701" s="160"/>
      <c r="M701" s="160"/>
    </row>
    <row r="702" spans="2:13">
      <c r="B702" s="399"/>
      <c r="C702" s="160"/>
      <c r="D702" s="160"/>
      <c r="E702" s="160"/>
      <c r="F702" s="160"/>
      <c r="G702" s="160"/>
      <c r="H702" s="160"/>
      <c r="I702" s="160"/>
      <c r="J702" s="160"/>
      <c r="K702" s="160"/>
      <c r="L702" s="160"/>
      <c r="M702" s="160"/>
    </row>
    <row r="703" spans="2:13">
      <c r="B703" s="399"/>
      <c r="C703" s="160"/>
      <c r="D703" s="160"/>
      <c r="E703" s="160"/>
      <c r="F703" s="160"/>
      <c r="G703" s="160"/>
      <c r="H703" s="160"/>
      <c r="I703" s="160"/>
      <c r="J703" s="160"/>
      <c r="K703" s="160"/>
      <c r="L703" s="160"/>
      <c r="M703" s="160"/>
    </row>
    <row r="704" spans="2:13">
      <c r="B704" s="399"/>
      <c r="C704" s="160"/>
      <c r="D704" s="160"/>
      <c r="E704" s="160"/>
      <c r="F704" s="160"/>
      <c r="G704" s="160"/>
      <c r="H704" s="160"/>
      <c r="I704" s="160"/>
      <c r="J704" s="160"/>
      <c r="K704" s="160"/>
      <c r="L704" s="160"/>
      <c r="M704" s="160"/>
    </row>
    <row r="705" spans="2:13">
      <c r="B705" s="399"/>
      <c r="C705" s="160"/>
      <c r="D705" s="160"/>
      <c r="E705" s="160"/>
      <c r="F705" s="160"/>
      <c r="G705" s="160"/>
      <c r="H705" s="160"/>
      <c r="I705" s="160"/>
      <c r="J705" s="160"/>
      <c r="K705" s="160"/>
      <c r="L705" s="160"/>
      <c r="M705" s="160"/>
    </row>
    <row r="706" spans="2:13">
      <c r="B706" s="399"/>
      <c r="C706" s="160"/>
      <c r="D706" s="160"/>
      <c r="E706" s="160"/>
      <c r="F706" s="160"/>
      <c r="G706" s="160"/>
      <c r="H706" s="160"/>
      <c r="I706" s="160"/>
      <c r="J706" s="160"/>
      <c r="K706" s="160"/>
      <c r="L706" s="160"/>
      <c r="M706" s="160"/>
    </row>
    <row r="707" spans="2:13">
      <c r="B707" s="399"/>
      <c r="C707" s="160"/>
      <c r="D707" s="160"/>
      <c r="E707" s="160"/>
      <c r="F707" s="160"/>
      <c r="G707" s="160"/>
      <c r="H707" s="160"/>
      <c r="I707" s="160"/>
      <c r="J707" s="160"/>
      <c r="K707" s="160"/>
      <c r="L707" s="160"/>
      <c r="M707" s="160"/>
    </row>
    <row r="708" spans="2:13">
      <c r="B708" s="399"/>
      <c r="C708" s="160"/>
      <c r="D708" s="160"/>
      <c r="E708" s="160"/>
      <c r="F708" s="160"/>
      <c r="G708" s="160"/>
      <c r="H708" s="160"/>
      <c r="I708" s="160"/>
      <c r="J708" s="160"/>
      <c r="K708" s="160"/>
      <c r="L708" s="160"/>
      <c r="M708" s="160"/>
    </row>
    <row r="709" spans="2:13">
      <c r="B709" s="399"/>
      <c r="C709" s="160"/>
      <c r="D709" s="160"/>
      <c r="E709" s="160"/>
      <c r="F709" s="160"/>
      <c r="G709" s="160"/>
      <c r="H709" s="160"/>
      <c r="I709" s="160"/>
      <c r="J709" s="160"/>
      <c r="K709" s="160"/>
      <c r="L709" s="160"/>
      <c r="M709" s="160"/>
    </row>
    <row r="710" spans="2:13">
      <c r="B710" s="399"/>
      <c r="C710" s="160"/>
      <c r="D710" s="160"/>
      <c r="E710" s="160"/>
      <c r="F710" s="160"/>
      <c r="G710" s="160"/>
      <c r="H710" s="160"/>
      <c r="I710" s="160"/>
      <c r="J710" s="160"/>
      <c r="K710" s="160"/>
      <c r="L710" s="160"/>
      <c r="M710" s="160"/>
    </row>
    <row r="711" spans="2:13">
      <c r="B711" s="399"/>
      <c r="C711" s="160"/>
      <c r="D711" s="160"/>
      <c r="E711" s="160"/>
      <c r="F711" s="160"/>
      <c r="G711" s="160"/>
      <c r="H711" s="160"/>
      <c r="I711" s="160"/>
      <c r="J711" s="160"/>
      <c r="K711" s="160"/>
      <c r="L711" s="160"/>
      <c r="M711" s="160"/>
    </row>
    <row r="712" spans="2:13">
      <c r="B712" s="399"/>
      <c r="C712" s="160"/>
      <c r="D712" s="160"/>
      <c r="E712" s="160"/>
      <c r="F712" s="160"/>
      <c r="G712" s="160"/>
      <c r="H712" s="160"/>
      <c r="I712" s="160"/>
      <c r="J712" s="160"/>
      <c r="K712" s="160"/>
      <c r="L712" s="160"/>
      <c r="M712" s="160"/>
    </row>
    <row r="713" spans="2:13">
      <c r="B713" s="399"/>
      <c r="C713" s="160"/>
      <c r="D713" s="160"/>
      <c r="E713" s="160"/>
      <c r="F713" s="160"/>
      <c r="G713" s="160"/>
      <c r="H713" s="160"/>
      <c r="I713" s="160"/>
      <c r="J713" s="160"/>
      <c r="K713" s="160"/>
      <c r="L713" s="160"/>
      <c r="M713" s="160"/>
    </row>
    <row r="714" spans="2:13">
      <c r="B714" s="399"/>
      <c r="C714" s="160"/>
      <c r="D714" s="160"/>
      <c r="E714" s="160"/>
      <c r="F714" s="160"/>
      <c r="G714" s="160"/>
      <c r="H714" s="160"/>
      <c r="I714" s="160"/>
      <c r="J714" s="160"/>
      <c r="K714" s="160"/>
      <c r="L714" s="160"/>
      <c r="M714" s="160"/>
    </row>
    <row r="715" spans="2:13">
      <c r="B715" s="399"/>
      <c r="C715" s="160"/>
      <c r="D715" s="160"/>
      <c r="E715" s="160"/>
      <c r="F715" s="160"/>
      <c r="G715" s="160"/>
      <c r="H715" s="160"/>
      <c r="I715" s="160"/>
      <c r="J715" s="160"/>
      <c r="K715" s="160"/>
      <c r="L715" s="160"/>
      <c r="M715" s="160"/>
    </row>
    <row r="716" spans="2:13">
      <c r="B716" s="399"/>
      <c r="C716" s="160"/>
      <c r="D716" s="160"/>
      <c r="E716" s="160"/>
      <c r="F716" s="160"/>
      <c r="G716" s="160"/>
      <c r="H716" s="160"/>
      <c r="I716" s="160"/>
      <c r="J716" s="160"/>
      <c r="K716" s="160"/>
      <c r="L716" s="160"/>
      <c r="M716" s="160"/>
    </row>
    <row r="717" spans="2:13">
      <c r="B717" s="399"/>
      <c r="C717" s="160"/>
      <c r="D717" s="160"/>
      <c r="E717" s="160"/>
      <c r="F717" s="160"/>
      <c r="G717" s="160"/>
      <c r="H717" s="160"/>
      <c r="I717" s="160"/>
      <c r="J717" s="160"/>
      <c r="K717" s="160"/>
      <c r="L717" s="160"/>
      <c r="M717" s="160"/>
    </row>
    <row r="718" spans="2:13">
      <c r="B718" s="399"/>
      <c r="C718" s="160"/>
      <c r="D718" s="160"/>
      <c r="E718" s="160"/>
      <c r="F718" s="160"/>
      <c r="G718" s="160"/>
      <c r="H718" s="160"/>
      <c r="I718" s="160"/>
      <c r="J718" s="160"/>
      <c r="K718" s="160"/>
      <c r="L718" s="160"/>
      <c r="M718" s="160"/>
    </row>
    <row r="719" spans="2:13">
      <c r="B719" s="399"/>
      <c r="C719" s="160"/>
      <c r="D719" s="160"/>
      <c r="E719" s="160"/>
      <c r="F719" s="160"/>
      <c r="G719" s="160"/>
      <c r="H719" s="160"/>
      <c r="I719" s="160"/>
      <c r="J719" s="160"/>
      <c r="K719" s="160"/>
      <c r="L719" s="160"/>
      <c r="M719" s="160"/>
    </row>
    <row r="720" spans="2:13">
      <c r="B720" s="399"/>
      <c r="C720" s="160"/>
      <c r="D720" s="160"/>
      <c r="E720" s="160"/>
      <c r="F720" s="160"/>
      <c r="G720" s="160"/>
      <c r="H720" s="160"/>
      <c r="I720" s="160"/>
      <c r="J720" s="160"/>
      <c r="K720" s="160"/>
      <c r="L720" s="160"/>
      <c r="M720" s="160"/>
    </row>
    <row r="721" spans="2:13">
      <c r="B721" s="399"/>
      <c r="C721" s="160"/>
      <c r="D721" s="160"/>
      <c r="E721" s="160"/>
      <c r="F721" s="160"/>
      <c r="G721" s="160"/>
      <c r="H721" s="160"/>
      <c r="I721" s="160"/>
      <c r="J721" s="160"/>
      <c r="K721" s="160"/>
      <c r="L721" s="160"/>
      <c r="M721" s="160"/>
    </row>
    <row r="722" spans="2:13">
      <c r="B722" s="399"/>
      <c r="C722" s="160"/>
      <c r="D722" s="160"/>
      <c r="E722" s="160"/>
      <c r="F722" s="160"/>
      <c r="G722" s="160"/>
      <c r="H722" s="160"/>
      <c r="I722" s="160"/>
      <c r="J722" s="160"/>
      <c r="K722" s="160"/>
      <c r="L722" s="160"/>
      <c r="M722" s="160"/>
    </row>
    <row r="723" spans="2:13">
      <c r="B723" s="399"/>
      <c r="C723" s="160"/>
      <c r="D723" s="160"/>
      <c r="E723" s="160"/>
      <c r="F723" s="160"/>
      <c r="G723" s="160"/>
      <c r="H723" s="160"/>
      <c r="I723" s="160"/>
      <c r="J723" s="160"/>
      <c r="K723" s="160"/>
      <c r="L723" s="160"/>
      <c r="M723" s="160"/>
    </row>
    <row r="724" spans="2:13">
      <c r="B724" s="399"/>
      <c r="C724" s="160"/>
      <c r="D724" s="160"/>
      <c r="E724" s="160"/>
      <c r="F724" s="160"/>
      <c r="G724" s="160"/>
      <c r="H724" s="160"/>
      <c r="I724" s="160"/>
      <c r="J724" s="160"/>
      <c r="K724" s="160"/>
      <c r="L724" s="160"/>
      <c r="M724" s="160"/>
    </row>
    <row r="725" spans="2:13">
      <c r="B725" s="399"/>
      <c r="C725" s="160"/>
      <c r="D725" s="160"/>
      <c r="E725" s="160"/>
      <c r="F725" s="160"/>
      <c r="G725" s="160"/>
      <c r="H725" s="160"/>
      <c r="I725" s="160"/>
      <c r="J725" s="160"/>
      <c r="K725" s="160"/>
      <c r="L725" s="160"/>
      <c r="M725" s="160"/>
    </row>
    <row r="726" spans="2:13">
      <c r="B726" s="399"/>
      <c r="C726" s="160"/>
      <c r="D726" s="160"/>
      <c r="E726" s="160"/>
      <c r="F726" s="160"/>
      <c r="G726" s="160"/>
      <c r="H726" s="160"/>
      <c r="I726" s="160"/>
      <c r="J726" s="160"/>
      <c r="K726" s="160"/>
      <c r="L726" s="160"/>
      <c r="M726" s="160"/>
    </row>
    <row r="727" spans="2:13">
      <c r="B727" s="399"/>
      <c r="C727" s="160"/>
      <c r="D727" s="160"/>
      <c r="E727" s="160"/>
      <c r="F727" s="160"/>
      <c r="G727" s="160"/>
      <c r="H727" s="160"/>
      <c r="I727" s="160"/>
      <c r="J727" s="160"/>
      <c r="K727" s="160"/>
      <c r="L727" s="160"/>
      <c r="M727" s="160"/>
    </row>
    <row r="728" spans="2:13">
      <c r="B728" s="399"/>
      <c r="C728" s="160"/>
      <c r="D728" s="160"/>
      <c r="E728" s="160"/>
      <c r="F728" s="160"/>
      <c r="G728" s="160"/>
      <c r="H728" s="160"/>
      <c r="I728" s="160"/>
      <c r="J728" s="160"/>
      <c r="K728" s="160"/>
      <c r="L728" s="160"/>
      <c r="M728" s="160"/>
    </row>
    <row r="729" spans="2:13">
      <c r="B729" s="399"/>
      <c r="C729" s="160"/>
      <c r="D729" s="160"/>
      <c r="E729" s="160"/>
      <c r="F729" s="160"/>
      <c r="G729" s="160"/>
      <c r="H729" s="160"/>
      <c r="I729" s="160"/>
      <c r="J729" s="160"/>
      <c r="K729" s="160"/>
      <c r="L729" s="160"/>
      <c r="M729" s="160"/>
    </row>
    <row r="730" spans="2:13">
      <c r="B730" s="399"/>
      <c r="C730" s="160"/>
      <c r="D730" s="160"/>
      <c r="E730" s="160"/>
      <c r="F730" s="160"/>
      <c r="G730" s="160"/>
      <c r="H730" s="160"/>
      <c r="I730" s="160"/>
      <c r="J730" s="160"/>
      <c r="K730" s="160"/>
      <c r="L730" s="160"/>
      <c r="M730" s="160"/>
    </row>
    <row r="731" spans="2:13">
      <c r="B731" s="399"/>
      <c r="C731" s="160"/>
      <c r="D731" s="160"/>
      <c r="E731" s="160"/>
      <c r="F731" s="160"/>
      <c r="G731" s="160"/>
      <c r="H731" s="160"/>
      <c r="I731" s="160"/>
      <c r="J731" s="160"/>
      <c r="K731" s="160"/>
      <c r="L731" s="160"/>
      <c r="M731" s="160"/>
    </row>
    <row r="732" spans="2:13">
      <c r="B732" s="399"/>
      <c r="C732" s="160"/>
      <c r="D732" s="160"/>
      <c r="E732" s="160"/>
      <c r="F732" s="160"/>
      <c r="G732" s="160"/>
      <c r="H732" s="160"/>
      <c r="I732" s="160"/>
      <c r="J732" s="160"/>
      <c r="K732" s="160"/>
      <c r="L732" s="160"/>
      <c r="M732" s="160"/>
    </row>
    <row r="733" spans="2:13">
      <c r="B733" s="399"/>
      <c r="C733" s="160"/>
      <c r="D733" s="160"/>
      <c r="E733" s="160"/>
      <c r="F733" s="160"/>
      <c r="G733" s="160"/>
      <c r="H733" s="160"/>
      <c r="I733" s="160"/>
      <c r="J733" s="160"/>
      <c r="K733" s="160"/>
      <c r="L733" s="160"/>
      <c r="M733" s="160"/>
    </row>
    <row r="734" spans="2:13">
      <c r="B734" s="399"/>
      <c r="C734" s="160"/>
      <c r="D734" s="160"/>
      <c r="E734" s="160"/>
      <c r="F734" s="160"/>
      <c r="G734" s="160"/>
      <c r="H734" s="160"/>
      <c r="I734" s="160"/>
      <c r="J734" s="160"/>
      <c r="K734" s="160"/>
      <c r="L734" s="160"/>
      <c r="M734" s="160"/>
    </row>
    <row r="735" spans="2:13">
      <c r="B735" s="399"/>
      <c r="C735" s="160"/>
      <c r="D735" s="160"/>
      <c r="E735" s="160"/>
      <c r="F735" s="160"/>
      <c r="G735" s="160"/>
      <c r="H735" s="160"/>
      <c r="I735" s="160"/>
      <c r="J735" s="160"/>
      <c r="K735" s="160"/>
      <c r="L735" s="160"/>
      <c r="M735" s="160"/>
    </row>
    <row r="736" spans="2:13">
      <c r="B736" s="399"/>
      <c r="C736" s="160"/>
      <c r="D736" s="160"/>
      <c r="E736" s="160"/>
      <c r="F736" s="160"/>
      <c r="G736" s="160"/>
      <c r="H736" s="160"/>
      <c r="I736" s="160"/>
      <c r="J736" s="160"/>
      <c r="K736" s="160"/>
      <c r="L736" s="160"/>
      <c r="M736" s="160"/>
    </row>
    <row r="737" spans="2:13">
      <c r="B737" s="399"/>
      <c r="C737" s="160"/>
      <c r="D737" s="160"/>
      <c r="E737" s="160"/>
      <c r="F737" s="160"/>
      <c r="G737" s="160"/>
      <c r="H737" s="160"/>
      <c r="I737" s="160"/>
      <c r="J737" s="160"/>
      <c r="K737" s="160"/>
      <c r="L737" s="160"/>
      <c r="M737" s="160"/>
    </row>
    <row r="738" spans="2:13">
      <c r="B738" s="399"/>
      <c r="C738" s="160"/>
      <c r="D738" s="160"/>
      <c r="E738" s="160"/>
      <c r="F738" s="160"/>
      <c r="G738" s="160"/>
      <c r="H738" s="160"/>
      <c r="I738" s="160"/>
      <c r="J738" s="160"/>
      <c r="K738" s="160"/>
      <c r="L738" s="160"/>
      <c r="M738" s="160"/>
    </row>
    <row r="739" spans="2:13">
      <c r="B739" s="399"/>
      <c r="C739" s="160"/>
      <c r="D739" s="160"/>
      <c r="E739" s="160"/>
      <c r="F739" s="160"/>
      <c r="G739" s="160"/>
      <c r="H739" s="160"/>
      <c r="I739" s="160"/>
      <c r="J739" s="160"/>
      <c r="K739" s="160"/>
      <c r="L739" s="160"/>
      <c r="M739" s="160"/>
    </row>
    <row r="740" spans="2:13">
      <c r="B740" s="399"/>
      <c r="C740" s="160"/>
      <c r="D740" s="160"/>
      <c r="E740" s="160"/>
      <c r="F740" s="160"/>
      <c r="G740" s="160"/>
      <c r="H740" s="160"/>
      <c r="I740" s="160"/>
      <c r="J740" s="160"/>
      <c r="K740" s="160"/>
      <c r="L740" s="160"/>
      <c r="M740" s="160"/>
    </row>
    <row r="741" spans="2:13">
      <c r="B741" s="399"/>
      <c r="C741" s="160"/>
      <c r="D741" s="160"/>
      <c r="E741" s="160"/>
      <c r="F741" s="160"/>
      <c r="G741" s="160"/>
      <c r="H741" s="160"/>
      <c r="I741" s="160"/>
      <c r="J741" s="160"/>
      <c r="K741" s="160"/>
      <c r="L741" s="160"/>
      <c r="M741" s="160"/>
    </row>
    <row r="742" spans="2:13">
      <c r="B742" s="399"/>
      <c r="C742" s="160"/>
      <c r="D742" s="160"/>
      <c r="E742" s="160"/>
      <c r="F742" s="160"/>
      <c r="G742" s="160"/>
      <c r="H742" s="160"/>
      <c r="I742" s="160"/>
      <c r="J742" s="160"/>
      <c r="K742" s="160"/>
      <c r="L742" s="160"/>
      <c r="M742" s="160"/>
    </row>
    <row r="743" spans="2:13">
      <c r="B743" s="399"/>
      <c r="C743" s="160"/>
      <c r="D743" s="160"/>
      <c r="E743" s="160"/>
      <c r="F743" s="160"/>
      <c r="G743" s="160"/>
      <c r="H743" s="160"/>
      <c r="I743" s="160"/>
      <c r="J743" s="160"/>
      <c r="K743" s="160"/>
      <c r="L743" s="160"/>
      <c r="M743" s="160"/>
    </row>
    <row r="744" spans="2:13">
      <c r="B744" s="399"/>
      <c r="C744" s="160"/>
      <c r="D744" s="160"/>
      <c r="E744" s="160"/>
      <c r="F744" s="160"/>
      <c r="G744" s="160"/>
      <c r="H744" s="160"/>
      <c r="I744" s="160"/>
      <c r="J744" s="160"/>
      <c r="K744" s="160"/>
      <c r="L744" s="160"/>
      <c r="M744" s="160"/>
    </row>
    <row r="745" spans="2:13">
      <c r="B745" s="399"/>
      <c r="C745" s="160"/>
      <c r="D745" s="160"/>
      <c r="E745" s="160"/>
      <c r="F745" s="160"/>
      <c r="G745" s="160"/>
      <c r="H745" s="160"/>
      <c r="I745" s="160"/>
      <c r="J745" s="160"/>
      <c r="K745" s="160"/>
      <c r="L745" s="160"/>
      <c r="M745" s="160"/>
    </row>
    <row r="746" spans="2:13">
      <c r="B746" s="399"/>
      <c r="C746" s="160"/>
      <c r="D746" s="160"/>
      <c r="E746" s="160"/>
      <c r="F746" s="160"/>
      <c r="G746" s="160"/>
      <c r="H746" s="160"/>
      <c r="I746" s="160"/>
      <c r="J746" s="160"/>
      <c r="K746" s="160"/>
      <c r="L746" s="160"/>
      <c r="M746" s="160"/>
    </row>
    <row r="747" spans="2:13">
      <c r="B747" s="399"/>
      <c r="C747" s="160"/>
      <c r="D747" s="160"/>
      <c r="E747" s="160"/>
      <c r="F747" s="160"/>
      <c r="G747" s="160"/>
      <c r="H747" s="160"/>
      <c r="I747" s="160"/>
      <c r="J747" s="160"/>
      <c r="K747" s="160"/>
      <c r="L747" s="160"/>
      <c r="M747" s="160"/>
    </row>
    <row r="748" spans="2:13">
      <c r="B748" s="399"/>
      <c r="C748" s="160"/>
      <c r="D748" s="160"/>
      <c r="E748" s="160"/>
      <c r="F748" s="160"/>
      <c r="G748" s="160"/>
      <c r="H748" s="160"/>
      <c r="I748" s="160"/>
      <c r="J748" s="160"/>
      <c r="K748" s="160"/>
      <c r="L748" s="160"/>
      <c r="M748" s="160"/>
    </row>
    <row r="749" spans="2:13">
      <c r="B749" s="399"/>
      <c r="C749" s="160"/>
      <c r="D749" s="160"/>
      <c r="E749" s="160"/>
      <c r="F749" s="160"/>
      <c r="G749" s="160"/>
      <c r="H749" s="160"/>
      <c r="I749" s="160"/>
      <c r="J749" s="160"/>
      <c r="K749" s="160"/>
      <c r="L749" s="160"/>
      <c r="M749" s="160"/>
    </row>
    <row r="750" spans="2:13">
      <c r="B750" s="399"/>
      <c r="C750" s="160"/>
      <c r="D750" s="160"/>
      <c r="E750" s="160"/>
      <c r="F750" s="160"/>
      <c r="G750" s="160"/>
      <c r="H750" s="160"/>
      <c r="I750" s="160"/>
      <c r="J750" s="160"/>
      <c r="K750" s="160"/>
      <c r="L750" s="160"/>
      <c r="M750" s="160"/>
    </row>
    <row r="751" spans="2:13">
      <c r="B751" s="399"/>
      <c r="C751" s="160"/>
      <c r="D751" s="160"/>
      <c r="E751" s="160"/>
      <c r="F751" s="160"/>
      <c r="G751" s="160"/>
      <c r="H751" s="160"/>
      <c r="I751" s="160"/>
      <c r="J751" s="160"/>
      <c r="K751" s="160"/>
      <c r="L751" s="160"/>
      <c r="M751" s="160"/>
    </row>
    <row r="752" spans="2:13">
      <c r="B752" s="399"/>
      <c r="C752" s="160"/>
      <c r="D752" s="160"/>
      <c r="E752" s="160"/>
      <c r="F752" s="160"/>
      <c r="G752" s="160"/>
      <c r="H752" s="160"/>
      <c r="I752" s="160"/>
      <c r="J752" s="160"/>
      <c r="K752" s="160"/>
      <c r="L752" s="160"/>
      <c r="M752" s="160"/>
    </row>
    <row r="753" spans="2:13">
      <c r="B753" s="399"/>
      <c r="C753" s="160"/>
      <c r="D753" s="160"/>
      <c r="E753" s="160"/>
      <c r="F753" s="160"/>
      <c r="G753" s="160"/>
      <c r="H753" s="160"/>
      <c r="I753" s="160"/>
      <c r="J753" s="160"/>
      <c r="K753" s="160"/>
      <c r="L753" s="160"/>
      <c r="M753" s="160"/>
    </row>
    <row r="754" spans="2:13">
      <c r="B754" s="399"/>
      <c r="C754" s="160"/>
      <c r="D754" s="160"/>
      <c r="E754" s="160"/>
      <c r="F754" s="160"/>
      <c r="G754" s="160"/>
      <c r="H754" s="160"/>
      <c r="I754" s="160"/>
      <c r="J754" s="160"/>
      <c r="K754" s="160"/>
      <c r="L754" s="160"/>
      <c r="M754" s="160"/>
    </row>
    <row r="755" spans="2:13">
      <c r="B755" s="399"/>
      <c r="C755" s="160"/>
      <c r="D755" s="160"/>
      <c r="E755" s="160"/>
      <c r="F755" s="160"/>
      <c r="G755" s="160"/>
      <c r="H755" s="160"/>
      <c r="I755" s="160"/>
      <c r="J755" s="160"/>
      <c r="K755" s="160"/>
      <c r="L755" s="160"/>
      <c r="M755" s="160"/>
    </row>
    <row r="756" spans="2:13">
      <c r="B756" s="399"/>
      <c r="C756" s="160"/>
      <c r="D756" s="160"/>
      <c r="E756" s="160"/>
      <c r="F756" s="160"/>
      <c r="G756" s="160"/>
      <c r="H756" s="160"/>
      <c r="I756" s="160"/>
      <c r="J756" s="160"/>
      <c r="K756" s="160"/>
      <c r="L756" s="160"/>
      <c r="M756" s="160"/>
    </row>
    <row r="757" spans="2:13">
      <c r="B757" s="399"/>
      <c r="C757" s="160"/>
      <c r="D757" s="160"/>
      <c r="E757" s="160"/>
      <c r="F757" s="160"/>
      <c r="G757" s="160"/>
      <c r="H757" s="160"/>
      <c r="I757" s="160"/>
      <c r="J757" s="160"/>
      <c r="K757" s="160"/>
      <c r="L757" s="160"/>
      <c r="M757" s="160"/>
    </row>
    <row r="758" spans="2:13">
      <c r="B758" s="399"/>
      <c r="C758" s="160"/>
      <c r="D758" s="160"/>
      <c r="E758" s="160"/>
      <c r="F758" s="160"/>
      <c r="G758" s="160"/>
      <c r="H758" s="160"/>
      <c r="I758" s="160"/>
      <c r="J758" s="160"/>
      <c r="K758" s="160"/>
      <c r="L758" s="160"/>
      <c r="M758" s="160"/>
    </row>
    <row r="759" spans="2:13">
      <c r="B759" s="399"/>
      <c r="C759" s="160"/>
      <c r="D759" s="160"/>
      <c r="E759" s="160"/>
      <c r="F759" s="160"/>
      <c r="G759" s="160"/>
      <c r="H759" s="160"/>
      <c r="I759" s="160"/>
      <c r="J759" s="160"/>
      <c r="K759" s="160"/>
      <c r="L759" s="160"/>
      <c r="M759" s="160"/>
    </row>
    <row r="760" spans="2:13">
      <c r="B760" s="399"/>
      <c r="C760" s="160"/>
      <c r="D760" s="160"/>
      <c r="E760" s="160"/>
      <c r="F760" s="160"/>
      <c r="G760" s="160"/>
      <c r="H760" s="160"/>
      <c r="I760" s="160"/>
      <c r="J760" s="160"/>
      <c r="K760" s="160"/>
      <c r="L760" s="160"/>
      <c r="M760" s="160"/>
    </row>
    <row r="761" spans="2:13">
      <c r="B761" s="399"/>
      <c r="C761" s="160"/>
      <c r="D761" s="160"/>
      <c r="E761" s="160"/>
      <c r="F761" s="160"/>
      <c r="G761" s="160"/>
      <c r="H761" s="160"/>
      <c r="I761" s="160"/>
      <c r="J761" s="160"/>
      <c r="K761" s="160"/>
      <c r="L761" s="160"/>
      <c r="M761" s="160"/>
    </row>
    <row r="762" spans="2:13">
      <c r="B762" s="399"/>
      <c r="C762" s="160"/>
      <c r="D762" s="160"/>
      <c r="E762" s="160"/>
      <c r="F762" s="160"/>
      <c r="G762" s="160"/>
      <c r="H762" s="160"/>
      <c r="I762" s="160"/>
      <c r="J762" s="160"/>
      <c r="K762" s="160"/>
      <c r="L762" s="160"/>
      <c r="M762" s="160"/>
    </row>
    <row r="763" spans="2:13">
      <c r="B763" s="399"/>
      <c r="C763" s="160"/>
      <c r="D763" s="160"/>
      <c r="E763" s="160"/>
      <c r="F763" s="160"/>
      <c r="G763" s="160"/>
      <c r="H763" s="160"/>
      <c r="I763" s="160"/>
      <c r="J763" s="160"/>
      <c r="K763" s="160"/>
      <c r="L763" s="160"/>
      <c r="M763" s="160"/>
    </row>
    <row r="764" spans="2:13">
      <c r="B764" s="399"/>
      <c r="C764" s="160"/>
      <c r="D764" s="160"/>
      <c r="E764" s="160"/>
      <c r="F764" s="160"/>
      <c r="G764" s="160"/>
      <c r="H764" s="160"/>
      <c r="I764" s="160"/>
      <c r="J764" s="160"/>
      <c r="K764" s="160"/>
      <c r="L764" s="160"/>
      <c r="M764" s="160"/>
    </row>
    <row r="765" spans="2:13">
      <c r="B765" s="399"/>
      <c r="C765" s="160"/>
      <c r="D765" s="160"/>
      <c r="E765" s="160"/>
      <c r="F765" s="160"/>
      <c r="G765" s="160"/>
      <c r="H765" s="160"/>
      <c r="I765" s="160"/>
      <c r="J765" s="160"/>
      <c r="K765" s="160"/>
      <c r="L765" s="160"/>
      <c r="M765" s="160"/>
    </row>
    <row r="766" spans="2:13">
      <c r="B766" s="399"/>
      <c r="C766" s="160"/>
      <c r="D766" s="160"/>
      <c r="E766" s="160"/>
      <c r="F766" s="160"/>
      <c r="G766" s="160"/>
      <c r="H766" s="160"/>
      <c r="I766" s="160"/>
      <c r="J766" s="160"/>
      <c r="K766" s="160"/>
      <c r="L766" s="160"/>
      <c r="M766" s="160"/>
    </row>
    <row r="767" spans="2:13">
      <c r="B767" s="399"/>
      <c r="C767" s="160"/>
      <c r="D767" s="160"/>
      <c r="E767" s="160"/>
      <c r="F767" s="160"/>
      <c r="G767" s="160"/>
      <c r="H767" s="160"/>
      <c r="I767" s="160"/>
      <c r="J767" s="160"/>
      <c r="K767" s="160"/>
      <c r="L767" s="160"/>
      <c r="M767" s="160"/>
    </row>
    <row r="768" spans="2:13">
      <c r="B768" s="399"/>
      <c r="C768" s="160"/>
      <c r="D768" s="160"/>
      <c r="E768" s="160"/>
      <c r="F768" s="160"/>
      <c r="G768" s="160"/>
      <c r="H768" s="160"/>
      <c r="I768" s="160"/>
      <c r="J768" s="160"/>
      <c r="K768" s="160"/>
      <c r="L768" s="160"/>
      <c r="M768" s="160"/>
    </row>
    <row r="769" spans="2:13">
      <c r="B769" s="399"/>
      <c r="C769" s="160"/>
      <c r="D769" s="160"/>
      <c r="E769" s="160"/>
      <c r="F769" s="160"/>
      <c r="G769" s="160"/>
      <c r="H769" s="160"/>
      <c r="I769" s="160"/>
      <c r="J769" s="160"/>
      <c r="K769" s="160"/>
      <c r="L769" s="160"/>
      <c r="M769" s="160"/>
    </row>
    <row r="770" spans="2:13">
      <c r="B770" s="399"/>
      <c r="C770" s="160"/>
      <c r="D770" s="160"/>
      <c r="E770" s="160"/>
      <c r="F770" s="160"/>
      <c r="G770" s="160"/>
      <c r="H770" s="160"/>
      <c r="I770" s="160"/>
      <c r="J770" s="160"/>
      <c r="K770" s="160"/>
      <c r="L770" s="160"/>
      <c r="M770" s="160"/>
    </row>
    <row r="771" spans="2:13">
      <c r="B771" s="399"/>
      <c r="C771" s="160"/>
      <c r="D771" s="160"/>
      <c r="E771" s="160"/>
      <c r="F771" s="160"/>
      <c r="G771" s="160"/>
      <c r="H771" s="160"/>
      <c r="I771" s="160"/>
      <c r="J771" s="160"/>
      <c r="K771" s="160"/>
      <c r="L771" s="160"/>
      <c r="M771" s="160"/>
    </row>
    <row r="772" spans="2:13">
      <c r="B772" s="399"/>
      <c r="C772" s="160"/>
      <c r="D772" s="160"/>
      <c r="E772" s="160"/>
      <c r="F772" s="160"/>
      <c r="G772" s="160"/>
      <c r="H772" s="160"/>
      <c r="I772" s="160"/>
      <c r="J772" s="160"/>
      <c r="K772" s="160"/>
      <c r="L772" s="160"/>
      <c r="M772" s="160"/>
    </row>
    <row r="773" spans="2:13">
      <c r="B773" s="399"/>
      <c r="C773" s="160"/>
      <c r="D773" s="160"/>
      <c r="E773" s="160"/>
      <c r="F773" s="160"/>
      <c r="G773" s="160"/>
      <c r="H773" s="160"/>
      <c r="I773" s="160"/>
      <c r="J773" s="160"/>
      <c r="K773" s="160"/>
      <c r="L773" s="160"/>
      <c r="M773" s="160"/>
    </row>
    <row r="774" spans="2:13">
      <c r="B774" s="399"/>
      <c r="C774" s="160"/>
      <c r="D774" s="160"/>
      <c r="E774" s="160"/>
      <c r="F774" s="160"/>
      <c r="G774" s="160"/>
      <c r="H774" s="160"/>
      <c r="I774" s="160"/>
      <c r="J774" s="160"/>
      <c r="K774" s="160"/>
      <c r="L774" s="160"/>
      <c r="M774" s="160"/>
    </row>
    <row r="775" spans="2:13">
      <c r="B775" s="399"/>
      <c r="C775" s="160"/>
      <c r="D775" s="160"/>
      <c r="E775" s="160"/>
      <c r="F775" s="160"/>
      <c r="G775" s="160"/>
      <c r="H775" s="160"/>
      <c r="I775" s="160"/>
      <c r="J775" s="160"/>
      <c r="K775" s="160"/>
      <c r="L775" s="160"/>
      <c r="M775" s="160"/>
    </row>
    <row r="776" spans="2:13">
      <c r="B776" s="399"/>
      <c r="C776" s="160"/>
      <c r="D776" s="160"/>
      <c r="E776" s="160"/>
      <c r="F776" s="160"/>
      <c r="G776" s="160"/>
      <c r="H776" s="160"/>
      <c r="I776" s="160"/>
      <c r="J776" s="160"/>
      <c r="K776" s="160"/>
      <c r="L776" s="160"/>
      <c r="M776" s="160"/>
    </row>
    <row r="777" spans="2:13">
      <c r="B777" s="399"/>
      <c r="C777" s="160"/>
      <c r="D777" s="160"/>
      <c r="E777" s="160"/>
      <c r="F777" s="160"/>
      <c r="G777" s="160"/>
      <c r="H777" s="160"/>
      <c r="I777" s="160"/>
      <c r="J777" s="160"/>
      <c r="K777" s="160"/>
      <c r="L777" s="160"/>
      <c r="M777" s="160"/>
    </row>
    <row r="778" spans="2:13">
      <c r="B778" s="399"/>
      <c r="C778" s="160"/>
      <c r="D778" s="160"/>
      <c r="E778" s="160"/>
      <c r="F778" s="160"/>
      <c r="G778" s="160"/>
      <c r="H778" s="160"/>
      <c r="I778" s="160"/>
      <c r="J778" s="160"/>
      <c r="K778" s="160"/>
      <c r="L778" s="160"/>
      <c r="M778" s="160"/>
    </row>
    <row r="779" spans="2:13">
      <c r="B779" s="399"/>
      <c r="C779" s="160"/>
      <c r="D779" s="160"/>
      <c r="E779" s="160"/>
      <c r="F779" s="160"/>
      <c r="G779" s="160"/>
      <c r="H779" s="160"/>
      <c r="I779" s="160"/>
      <c r="J779" s="160"/>
      <c r="K779" s="160"/>
      <c r="L779" s="160"/>
      <c r="M779" s="160"/>
    </row>
    <row r="780" spans="2:13">
      <c r="B780" s="399"/>
      <c r="C780" s="160"/>
      <c r="D780" s="160"/>
      <c r="E780" s="160"/>
      <c r="F780" s="160"/>
      <c r="G780" s="160"/>
      <c r="H780" s="160"/>
      <c r="I780" s="160"/>
      <c r="J780" s="160"/>
      <c r="K780" s="160"/>
      <c r="L780" s="160"/>
      <c r="M780" s="160"/>
    </row>
    <row r="781" spans="2:13">
      <c r="B781" s="399"/>
      <c r="C781" s="160"/>
      <c r="D781" s="160"/>
      <c r="E781" s="160"/>
      <c r="F781" s="160"/>
      <c r="G781" s="160"/>
      <c r="H781" s="160"/>
      <c r="I781" s="160"/>
      <c r="J781" s="160"/>
      <c r="K781" s="160"/>
      <c r="L781" s="160"/>
      <c r="M781" s="160"/>
    </row>
    <row r="782" spans="2:13">
      <c r="B782" s="399"/>
      <c r="C782" s="160"/>
      <c r="D782" s="160"/>
      <c r="E782" s="160"/>
      <c r="F782" s="160"/>
      <c r="G782" s="160"/>
      <c r="H782" s="160"/>
      <c r="I782" s="160"/>
      <c r="J782" s="160"/>
      <c r="K782" s="160"/>
      <c r="L782" s="160"/>
      <c r="M782" s="160"/>
    </row>
    <row r="783" spans="2:13">
      <c r="B783" s="399"/>
      <c r="C783" s="160"/>
      <c r="D783" s="160"/>
      <c r="E783" s="160"/>
      <c r="F783" s="160"/>
      <c r="G783" s="160"/>
      <c r="H783" s="160"/>
      <c r="I783" s="160"/>
      <c r="J783" s="160"/>
      <c r="K783" s="160"/>
      <c r="L783" s="160"/>
      <c r="M783" s="160"/>
    </row>
    <row r="784" spans="2:13">
      <c r="B784" s="399"/>
      <c r="C784" s="160"/>
      <c r="D784" s="160"/>
      <c r="E784" s="160"/>
      <c r="F784" s="160"/>
      <c r="G784" s="160"/>
      <c r="H784" s="160"/>
      <c r="I784" s="160"/>
      <c r="J784" s="160"/>
      <c r="K784" s="160"/>
      <c r="L784" s="160"/>
      <c r="M784" s="160"/>
    </row>
    <row r="785" spans="2:13">
      <c r="B785" s="399"/>
      <c r="C785" s="160"/>
      <c r="D785" s="160"/>
      <c r="E785" s="160"/>
      <c r="F785" s="160"/>
      <c r="G785" s="160"/>
      <c r="H785" s="160"/>
      <c r="I785" s="160"/>
      <c r="J785" s="160"/>
      <c r="K785" s="160"/>
      <c r="L785" s="160"/>
      <c r="M785" s="160"/>
    </row>
    <row r="786" spans="2:13">
      <c r="B786" s="399"/>
      <c r="C786" s="160"/>
      <c r="D786" s="160"/>
      <c r="E786" s="160"/>
      <c r="F786" s="160"/>
      <c r="G786" s="160"/>
      <c r="H786" s="160"/>
      <c r="I786" s="160"/>
      <c r="J786" s="160"/>
      <c r="K786" s="160"/>
      <c r="L786" s="160"/>
      <c r="M786" s="160"/>
    </row>
    <row r="787" spans="2:13">
      <c r="B787" s="399"/>
      <c r="C787" s="160"/>
      <c r="D787" s="160"/>
      <c r="E787" s="160"/>
      <c r="F787" s="160"/>
      <c r="G787" s="160"/>
      <c r="H787" s="160"/>
      <c r="I787" s="160"/>
      <c r="J787" s="160"/>
      <c r="K787" s="160"/>
      <c r="L787" s="160"/>
      <c r="M787" s="160"/>
    </row>
    <row r="788" spans="2:13">
      <c r="B788" s="399"/>
      <c r="C788" s="160"/>
      <c r="D788" s="160"/>
      <c r="E788" s="160"/>
      <c r="F788" s="160"/>
      <c r="G788" s="160"/>
      <c r="H788" s="160"/>
      <c r="I788" s="160"/>
      <c r="J788" s="160"/>
      <c r="K788" s="160"/>
      <c r="L788" s="160"/>
      <c r="M788" s="160"/>
    </row>
    <row r="789" spans="2:13">
      <c r="B789" s="399"/>
      <c r="C789" s="160"/>
      <c r="D789" s="160"/>
      <c r="E789" s="160"/>
      <c r="F789" s="160"/>
      <c r="G789" s="160"/>
      <c r="H789" s="160"/>
      <c r="I789" s="160"/>
      <c r="J789" s="160"/>
      <c r="K789" s="160"/>
      <c r="L789" s="160"/>
      <c r="M789" s="160"/>
    </row>
    <row r="790" spans="2:13">
      <c r="B790" s="399"/>
      <c r="C790" s="160"/>
      <c r="D790" s="160"/>
      <c r="E790" s="160"/>
      <c r="F790" s="160"/>
      <c r="G790" s="160"/>
      <c r="H790" s="160"/>
      <c r="I790" s="160"/>
      <c r="J790" s="160"/>
      <c r="K790" s="160"/>
      <c r="L790" s="160"/>
      <c r="M790" s="160"/>
    </row>
    <row r="791" spans="2:13">
      <c r="B791" s="399"/>
      <c r="C791" s="160"/>
      <c r="D791" s="160"/>
      <c r="E791" s="160"/>
      <c r="F791" s="160"/>
      <c r="G791" s="160"/>
      <c r="H791" s="160"/>
      <c r="I791" s="160"/>
      <c r="J791" s="160"/>
      <c r="K791" s="160"/>
      <c r="L791" s="160"/>
      <c r="M791" s="160"/>
    </row>
    <row r="792" spans="2:13">
      <c r="B792" s="399"/>
      <c r="C792" s="160"/>
      <c r="D792" s="160"/>
      <c r="E792" s="160"/>
      <c r="F792" s="160"/>
      <c r="G792" s="160"/>
      <c r="H792" s="160"/>
      <c r="I792" s="160"/>
      <c r="J792" s="160"/>
      <c r="K792" s="160"/>
      <c r="L792" s="160"/>
      <c r="M792" s="160"/>
    </row>
    <row r="793" spans="2:13">
      <c r="B793" s="399"/>
      <c r="C793" s="160"/>
      <c r="D793" s="160"/>
      <c r="E793" s="160"/>
      <c r="F793" s="160"/>
      <c r="G793" s="160"/>
      <c r="H793" s="160"/>
      <c r="I793" s="160"/>
      <c r="J793" s="160"/>
      <c r="K793" s="160"/>
      <c r="L793" s="160"/>
      <c r="M793" s="160"/>
    </row>
    <row r="794" spans="2:13">
      <c r="B794" s="399"/>
      <c r="C794" s="160"/>
      <c r="D794" s="160"/>
      <c r="E794" s="160"/>
      <c r="F794" s="160"/>
      <c r="G794" s="160"/>
      <c r="H794" s="160"/>
      <c r="I794" s="160"/>
      <c r="J794" s="160"/>
      <c r="K794" s="160"/>
      <c r="L794" s="160"/>
      <c r="M794" s="160"/>
    </row>
    <row r="795" spans="2:13">
      <c r="B795" s="399"/>
      <c r="C795" s="160"/>
      <c r="D795" s="160"/>
      <c r="E795" s="160"/>
      <c r="F795" s="160"/>
      <c r="G795" s="160"/>
      <c r="H795" s="160"/>
      <c r="I795" s="160"/>
      <c r="J795" s="160"/>
      <c r="K795" s="160"/>
      <c r="L795" s="160"/>
      <c r="M795" s="160"/>
    </row>
    <row r="796" spans="2:13">
      <c r="B796" s="399"/>
      <c r="C796" s="160"/>
      <c r="D796" s="160"/>
      <c r="E796" s="160"/>
      <c r="F796" s="160"/>
      <c r="G796" s="160"/>
      <c r="H796" s="160"/>
      <c r="I796" s="160"/>
      <c r="J796" s="160"/>
      <c r="K796" s="160"/>
      <c r="L796" s="160"/>
      <c r="M796" s="160"/>
    </row>
    <row r="797" spans="2:13">
      <c r="B797" s="399"/>
      <c r="C797" s="160"/>
      <c r="D797" s="160"/>
      <c r="E797" s="160"/>
      <c r="F797" s="160"/>
      <c r="G797" s="160"/>
      <c r="H797" s="160"/>
      <c r="I797" s="160"/>
      <c r="J797" s="160"/>
      <c r="K797" s="160"/>
      <c r="L797" s="160"/>
      <c r="M797" s="160"/>
    </row>
    <row r="798" spans="2:13">
      <c r="B798" s="399"/>
      <c r="C798" s="160"/>
      <c r="D798" s="160"/>
      <c r="E798" s="160"/>
      <c r="F798" s="160"/>
      <c r="G798" s="160"/>
      <c r="H798" s="160"/>
      <c r="I798" s="160"/>
      <c r="J798" s="160"/>
      <c r="K798" s="160"/>
      <c r="L798" s="160"/>
      <c r="M798" s="160"/>
    </row>
    <row r="799" spans="2:13">
      <c r="B799" s="399"/>
      <c r="C799" s="160"/>
      <c r="D799" s="160"/>
      <c r="E799" s="160"/>
      <c r="F799" s="160"/>
      <c r="G799" s="160"/>
      <c r="H799" s="160"/>
      <c r="I799" s="160"/>
      <c r="J799" s="160"/>
      <c r="K799" s="160"/>
      <c r="L799" s="160"/>
      <c r="M799" s="160"/>
    </row>
    <row r="800" spans="2:13">
      <c r="B800" s="399"/>
      <c r="C800" s="160"/>
      <c r="D800" s="160"/>
      <c r="E800" s="160"/>
      <c r="F800" s="160"/>
      <c r="G800" s="160"/>
      <c r="H800" s="160"/>
      <c r="I800" s="160"/>
      <c r="J800" s="160"/>
      <c r="K800" s="160"/>
      <c r="L800" s="160"/>
      <c r="M800" s="160"/>
    </row>
    <row r="801" spans="2:13">
      <c r="B801" s="399"/>
      <c r="C801" s="160"/>
      <c r="D801" s="160"/>
      <c r="E801" s="160"/>
      <c r="F801" s="160"/>
      <c r="G801" s="160"/>
      <c r="H801" s="160"/>
      <c r="I801" s="160"/>
      <c r="J801" s="160"/>
      <c r="K801" s="160"/>
      <c r="L801" s="160"/>
      <c r="M801" s="160"/>
    </row>
    <row r="802" spans="2:13">
      <c r="B802" s="399"/>
      <c r="C802" s="160"/>
      <c r="D802" s="160"/>
      <c r="E802" s="160"/>
      <c r="F802" s="160"/>
      <c r="G802" s="160"/>
      <c r="H802" s="160"/>
      <c r="I802" s="160"/>
      <c r="J802" s="160"/>
      <c r="K802" s="160"/>
      <c r="L802" s="160"/>
      <c r="M802" s="160"/>
    </row>
    <row r="803" spans="2:13">
      <c r="B803" s="399"/>
      <c r="C803" s="160"/>
      <c r="D803" s="160"/>
      <c r="E803" s="160"/>
      <c r="F803" s="160"/>
      <c r="G803" s="160"/>
      <c r="H803" s="160"/>
      <c r="I803" s="160"/>
      <c r="J803" s="160"/>
      <c r="K803" s="160"/>
      <c r="L803" s="160"/>
      <c r="M803" s="160"/>
    </row>
    <row r="804" spans="2:13">
      <c r="B804" s="399"/>
      <c r="C804" s="160"/>
      <c r="D804" s="160"/>
      <c r="E804" s="160"/>
      <c r="F804" s="160"/>
      <c r="G804" s="160"/>
      <c r="H804" s="160"/>
      <c r="I804" s="160"/>
      <c r="J804" s="160"/>
      <c r="K804" s="160"/>
      <c r="L804" s="160"/>
      <c r="M804" s="160"/>
    </row>
    <row r="805" spans="2:13">
      <c r="B805" s="399"/>
      <c r="C805" s="160"/>
      <c r="D805" s="160"/>
      <c r="E805" s="160"/>
      <c r="F805" s="160"/>
      <c r="G805" s="160"/>
      <c r="H805" s="160"/>
      <c r="I805" s="160"/>
      <c r="J805" s="160"/>
      <c r="K805" s="160"/>
      <c r="L805" s="160"/>
      <c r="M805" s="160"/>
    </row>
    <row r="806" spans="2:13">
      <c r="B806" s="399"/>
      <c r="C806" s="160"/>
      <c r="D806" s="160"/>
      <c r="E806" s="160"/>
      <c r="F806" s="160"/>
      <c r="G806" s="160"/>
      <c r="H806" s="160"/>
      <c r="I806" s="160"/>
      <c r="J806" s="160"/>
      <c r="K806" s="160"/>
      <c r="L806" s="160"/>
      <c r="M806" s="160"/>
    </row>
    <row r="807" spans="2:13">
      <c r="B807" s="399"/>
      <c r="C807" s="160"/>
      <c r="D807" s="160"/>
      <c r="E807" s="160"/>
      <c r="F807" s="160"/>
      <c r="G807" s="160"/>
      <c r="H807" s="160"/>
      <c r="I807" s="160"/>
      <c r="J807" s="160"/>
      <c r="K807" s="160"/>
      <c r="L807" s="160"/>
      <c r="M807" s="160"/>
    </row>
    <row r="808" spans="2:13">
      <c r="B808" s="399"/>
      <c r="C808" s="160"/>
      <c r="D808" s="160"/>
      <c r="E808" s="160"/>
      <c r="F808" s="160"/>
      <c r="G808" s="160"/>
      <c r="H808" s="160"/>
      <c r="I808" s="160"/>
      <c r="J808" s="160"/>
      <c r="K808" s="160"/>
      <c r="L808" s="160"/>
      <c r="M808" s="160"/>
    </row>
    <row r="809" spans="2:13">
      <c r="B809" s="399"/>
      <c r="C809" s="160"/>
      <c r="D809" s="160"/>
      <c r="E809" s="160"/>
      <c r="F809" s="160"/>
      <c r="G809" s="160"/>
      <c r="H809" s="160"/>
      <c r="I809" s="160"/>
      <c r="J809" s="160"/>
      <c r="K809" s="160"/>
      <c r="L809" s="160"/>
      <c r="M809" s="160"/>
    </row>
    <row r="810" spans="2:13">
      <c r="B810" s="399"/>
      <c r="C810" s="160"/>
      <c r="D810" s="160"/>
      <c r="E810" s="160"/>
      <c r="F810" s="160"/>
      <c r="G810" s="160"/>
      <c r="H810" s="160"/>
      <c r="I810" s="160"/>
      <c r="J810" s="160"/>
      <c r="K810" s="160"/>
      <c r="L810" s="160"/>
      <c r="M810" s="160"/>
    </row>
    <row r="811" spans="2:13">
      <c r="B811" s="399"/>
      <c r="C811" s="160"/>
      <c r="D811" s="160"/>
      <c r="E811" s="160"/>
      <c r="F811" s="160"/>
      <c r="G811" s="160"/>
      <c r="H811" s="160"/>
      <c r="I811" s="160"/>
      <c r="J811" s="160"/>
      <c r="K811" s="160"/>
      <c r="L811" s="160"/>
      <c r="M811" s="160"/>
    </row>
    <row r="812" spans="2:13">
      <c r="B812" s="399"/>
      <c r="C812" s="160"/>
      <c r="D812" s="160"/>
      <c r="E812" s="160"/>
      <c r="F812" s="160"/>
      <c r="G812" s="160"/>
      <c r="H812" s="160"/>
      <c r="I812" s="160"/>
      <c r="J812" s="160"/>
      <c r="K812" s="160"/>
      <c r="L812" s="160"/>
      <c r="M812" s="160"/>
    </row>
    <row r="813" spans="2:13">
      <c r="B813" s="399"/>
      <c r="C813" s="160"/>
      <c r="D813" s="160"/>
      <c r="E813" s="160"/>
      <c r="F813" s="160"/>
      <c r="G813" s="160"/>
      <c r="H813" s="160"/>
      <c r="I813" s="160"/>
      <c r="J813" s="160"/>
      <c r="K813" s="160"/>
      <c r="L813" s="160"/>
      <c r="M813" s="160"/>
    </row>
    <row r="814" spans="2:13">
      <c r="B814" s="399"/>
      <c r="C814" s="160"/>
      <c r="D814" s="160"/>
      <c r="E814" s="160"/>
      <c r="F814" s="160"/>
      <c r="G814" s="160"/>
      <c r="H814" s="160"/>
      <c r="I814" s="160"/>
      <c r="J814" s="160"/>
      <c r="K814" s="160"/>
      <c r="L814" s="160"/>
      <c r="M814" s="160"/>
    </row>
    <row r="815" spans="2:13">
      <c r="B815" s="399"/>
      <c r="C815" s="160"/>
      <c r="D815" s="160"/>
      <c r="E815" s="160"/>
      <c r="F815" s="160"/>
      <c r="G815" s="160"/>
      <c r="H815" s="160"/>
      <c r="I815" s="160"/>
      <c r="J815" s="160"/>
      <c r="K815" s="160"/>
      <c r="L815" s="160"/>
      <c r="M815" s="160"/>
    </row>
    <row r="816" spans="2:13">
      <c r="B816" s="399"/>
      <c r="C816" s="160"/>
      <c r="D816" s="160"/>
      <c r="E816" s="160"/>
      <c r="F816" s="160"/>
      <c r="G816" s="160"/>
      <c r="H816" s="160"/>
      <c r="I816" s="160"/>
      <c r="J816" s="160"/>
      <c r="K816" s="160"/>
      <c r="L816" s="160"/>
      <c r="M816" s="160"/>
    </row>
    <row r="817" spans="2:13">
      <c r="B817" s="399"/>
      <c r="C817" s="160"/>
      <c r="D817" s="160"/>
      <c r="E817" s="160"/>
      <c r="F817" s="160"/>
      <c r="G817" s="160"/>
      <c r="H817" s="160"/>
      <c r="I817" s="160"/>
      <c r="J817" s="160"/>
      <c r="K817" s="160"/>
      <c r="L817" s="160"/>
      <c r="M817" s="160"/>
    </row>
    <row r="818" spans="2:13">
      <c r="B818" s="399"/>
      <c r="C818" s="160"/>
      <c r="D818" s="160"/>
      <c r="E818" s="160"/>
      <c r="F818" s="160"/>
      <c r="G818" s="160"/>
      <c r="H818" s="160"/>
      <c r="I818" s="160"/>
      <c r="J818" s="160"/>
      <c r="K818" s="160"/>
      <c r="L818" s="160"/>
      <c r="M818" s="160"/>
    </row>
    <row r="819" spans="2:13">
      <c r="B819" s="399"/>
      <c r="C819" s="160"/>
      <c r="D819" s="160"/>
      <c r="E819" s="160"/>
      <c r="F819" s="160"/>
      <c r="G819" s="160"/>
      <c r="H819" s="160"/>
      <c r="I819" s="160"/>
      <c r="J819" s="160"/>
      <c r="K819" s="160"/>
      <c r="L819" s="160"/>
      <c r="M819" s="160"/>
    </row>
    <row r="820" spans="2:13">
      <c r="B820" s="399"/>
      <c r="C820" s="160"/>
      <c r="D820" s="160"/>
      <c r="E820" s="160"/>
      <c r="F820" s="160"/>
      <c r="G820" s="160"/>
      <c r="H820" s="160"/>
      <c r="I820" s="160"/>
      <c r="J820" s="160"/>
      <c r="K820" s="160"/>
      <c r="L820" s="160"/>
      <c r="M820" s="160"/>
    </row>
    <row r="821" spans="2:13">
      <c r="B821" s="399"/>
      <c r="C821" s="160"/>
      <c r="D821" s="160"/>
      <c r="E821" s="160"/>
      <c r="F821" s="160"/>
      <c r="G821" s="160"/>
      <c r="H821" s="160"/>
      <c r="I821" s="160"/>
      <c r="J821" s="160"/>
      <c r="K821" s="160"/>
      <c r="L821" s="160"/>
      <c r="M821" s="160"/>
    </row>
    <row r="822" spans="2:13">
      <c r="B822" s="399"/>
      <c r="C822" s="160"/>
      <c r="D822" s="160"/>
      <c r="E822" s="160"/>
      <c r="F822" s="160"/>
      <c r="G822" s="160"/>
      <c r="H822" s="160"/>
      <c r="I822" s="160"/>
      <c r="J822" s="160"/>
      <c r="K822" s="160"/>
      <c r="L822" s="160"/>
      <c r="M822" s="160"/>
    </row>
    <row r="823" spans="2:13">
      <c r="B823" s="399"/>
      <c r="C823" s="160"/>
      <c r="D823" s="160"/>
      <c r="E823" s="160"/>
      <c r="F823" s="160"/>
      <c r="G823" s="160"/>
      <c r="H823" s="160"/>
      <c r="I823" s="160"/>
      <c r="J823" s="160"/>
      <c r="K823" s="160"/>
      <c r="L823" s="160"/>
      <c r="M823" s="160"/>
    </row>
    <row r="824" spans="2:13">
      <c r="B824" s="399"/>
      <c r="C824" s="160"/>
      <c r="D824" s="160"/>
      <c r="E824" s="160"/>
      <c r="F824" s="160"/>
      <c r="G824" s="160"/>
      <c r="H824" s="160"/>
      <c r="I824" s="160"/>
      <c r="J824" s="160"/>
      <c r="K824" s="160"/>
      <c r="L824" s="160"/>
      <c r="M824" s="160"/>
    </row>
    <row r="825" spans="2:13">
      <c r="B825" s="399"/>
      <c r="C825" s="160"/>
      <c r="D825" s="160"/>
      <c r="E825" s="160"/>
      <c r="F825" s="160"/>
      <c r="G825" s="160"/>
      <c r="H825" s="160"/>
      <c r="I825" s="160"/>
      <c r="J825" s="160"/>
      <c r="K825" s="160"/>
      <c r="L825" s="160"/>
      <c r="M825" s="160"/>
    </row>
    <row r="826" spans="2:13">
      <c r="B826" s="399"/>
      <c r="C826" s="160"/>
      <c r="D826" s="160"/>
      <c r="E826" s="160"/>
      <c r="F826" s="160"/>
      <c r="G826" s="160"/>
      <c r="H826" s="160"/>
      <c r="I826" s="160"/>
      <c r="J826" s="160"/>
      <c r="K826" s="160"/>
      <c r="L826" s="160"/>
      <c r="M826" s="160"/>
    </row>
    <row r="827" spans="2:13">
      <c r="B827" s="399"/>
      <c r="C827" s="160"/>
      <c r="D827" s="160"/>
      <c r="E827" s="160"/>
      <c r="F827" s="160"/>
      <c r="G827" s="160"/>
      <c r="H827" s="160"/>
      <c r="I827" s="160"/>
      <c r="J827" s="160"/>
      <c r="K827" s="160"/>
      <c r="L827" s="160"/>
      <c r="M827" s="160"/>
    </row>
    <row r="828" spans="2:13">
      <c r="B828" s="399"/>
      <c r="C828" s="160"/>
      <c r="D828" s="160"/>
      <c r="E828" s="160"/>
      <c r="F828" s="160"/>
      <c r="G828" s="160"/>
      <c r="H828" s="160"/>
      <c r="I828" s="160"/>
      <c r="J828" s="160"/>
      <c r="K828" s="160"/>
      <c r="L828" s="160"/>
      <c r="M828" s="160"/>
    </row>
    <row r="829" spans="2:13">
      <c r="B829" s="399"/>
      <c r="C829" s="160"/>
      <c r="D829" s="160"/>
      <c r="E829" s="160"/>
      <c r="F829" s="160"/>
      <c r="G829" s="160"/>
      <c r="H829" s="160"/>
      <c r="I829" s="160"/>
      <c r="J829" s="160"/>
      <c r="K829" s="160"/>
      <c r="L829" s="160"/>
      <c r="M829" s="160"/>
    </row>
    <row r="830" spans="2:13">
      <c r="B830" s="399"/>
      <c r="C830" s="160"/>
      <c r="D830" s="160"/>
      <c r="E830" s="160"/>
      <c r="F830" s="160"/>
      <c r="G830" s="160"/>
      <c r="H830" s="160"/>
      <c r="I830" s="160"/>
      <c r="J830" s="160"/>
      <c r="K830" s="160"/>
      <c r="L830" s="160"/>
      <c r="M830" s="160"/>
    </row>
    <row r="831" spans="2:13">
      <c r="B831" s="399"/>
      <c r="C831" s="160"/>
      <c r="D831" s="160"/>
      <c r="E831" s="160"/>
      <c r="F831" s="160"/>
      <c r="G831" s="160"/>
      <c r="H831" s="160"/>
      <c r="I831" s="160"/>
      <c r="J831" s="160"/>
      <c r="K831" s="160"/>
      <c r="L831" s="160"/>
      <c r="M831" s="160"/>
    </row>
    <row r="832" spans="2:13">
      <c r="B832" s="399"/>
      <c r="C832" s="160"/>
      <c r="D832" s="160"/>
      <c r="E832" s="160"/>
      <c r="F832" s="160"/>
      <c r="G832" s="160"/>
      <c r="H832" s="160"/>
      <c r="I832" s="160"/>
      <c r="J832" s="160"/>
      <c r="K832" s="160"/>
      <c r="L832" s="160"/>
      <c r="M832" s="160"/>
    </row>
    <row r="833" spans="2:13">
      <c r="B833" s="399"/>
      <c r="C833" s="160"/>
      <c r="D833" s="160"/>
      <c r="E833" s="160"/>
      <c r="F833" s="160"/>
      <c r="G833" s="160"/>
      <c r="H833" s="160"/>
      <c r="I833" s="160"/>
      <c r="J833" s="160"/>
      <c r="K833" s="160"/>
      <c r="L833" s="160"/>
      <c r="M833" s="160"/>
    </row>
    <row r="834" spans="2:13">
      <c r="B834" s="399"/>
      <c r="C834" s="160"/>
      <c r="D834" s="160"/>
      <c r="E834" s="160"/>
      <c r="F834" s="160"/>
      <c r="G834" s="160"/>
      <c r="H834" s="160"/>
      <c r="I834" s="160"/>
      <c r="J834" s="160"/>
      <c r="K834" s="160"/>
      <c r="L834" s="160"/>
      <c r="M834" s="160"/>
    </row>
    <row r="835" spans="2:13">
      <c r="B835" s="399"/>
      <c r="C835" s="160"/>
      <c r="D835" s="160"/>
      <c r="E835" s="160"/>
      <c r="F835" s="160"/>
      <c r="G835" s="160"/>
      <c r="H835" s="160"/>
      <c r="I835" s="160"/>
      <c r="J835" s="160"/>
      <c r="K835" s="160"/>
      <c r="L835" s="160"/>
      <c r="M835" s="160"/>
    </row>
    <row r="836" spans="2:13">
      <c r="B836" s="399"/>
      <c r="C836" s="160"/>
      <c r="D836" s="160"/>
      <c r="E836" s="160"/>
      <c r="F836" s="160"/>
      <c r="G836" s="160"/>
      <c r="H836" s="160"/>
      <c r="I836" s="160"/>
      <c r="J836" s="160"/>
      <c r="K836" s="160"/>
      <c r="L836" s="160"/>
      <c r="M836" s="160"/>
    </row>
    <row r="837" spans="2:13">
      <c r="B837" s="399"/>
      <c r="C837" s="160"/>
      <c r="D837" s="160"/>
      <c r="E837" s="160"/>
      <c r="F837" s="160"/>
      <c r="G837" s="160"/>
      <c r="H837" s="160"/>
      <c r="I837" s="160"/>
      <c r="J837" s="160"/>
      <c r="K837" s="160"/>
      <c r="L837" s="160"/>
      <c r="M837" s="160"/>
    </row>
    <row r="838" spans="2:13">
      <c r="B838" s="399"/>
      <c r="C838" s="160"/>
      <c r="D838" s="160"/>
      <c r="E838" s="160"/>
      <c r="F838" s="160"/>
      <c r="G838" s="160"/>
      <c r="H838" s="160"/>
      <c r="I838" s="160"/>
      <c r="J838" s="160"/>
      <c r="K838" s="160"/>
      <c r="L838" s="160"/>
      <c r="M838" s="160"/>
    </row>
    <row r="839" spans="2:13">
      <c r="B839" s="399"/>
      <c r="C839" s="160"/>
      <c r="D839" s="160"/>
      <c r="E839" s="160"/>
      <c r="F839" s="160"/>
      <c r="G839" s="160"/>
      <c r="H839" s="160"/>
      <c r="I839" s="160"/>
      <c r="J839" s="160"/>
      <c r="K839" s="160"/>
      <c r="L839" s="160"/>
      <c r="M839" s="160"/>
    </row>
    <row r="840" spans="2:13">
      <c r="B840" s="399"/>
      <c r="C840" s="160"/>
      <c r="D840" s="160"/>
      <c r="E840" s="160"/>
      <c r="F840" s="160"/>
      <c r="G840" s="160"/>
      <c r="H840" s="160"/>
      <c r="I840" s="160"/>
      <c r="J840" s="160"/>
      <c r="K840" s="160"/>
      <c r="L840" s="160"/>
      <c r="M840" s="160"/>
    </row>
    <row r="841" spans="2:13">
      <c r="B841" s="399"/>
      <c r="C841" s="160"/>
      <c r="D841" s="160"/>
      <c r="E841" s="160"/>
      <c r="F841" s="160"/>
      <c r="G841" s="160"/>
      <c r="H841" s="160"/>
      <c r="I841" s="160"/>
      <c r="J841" s="160"/>
      <c r="K841" s="160"/>
      <c r="L841" s="160"/>
      <c r="M841" s="160"/>
    </row>
    <row r="842" spans="2:13">
      <c r="B842" s="399"/>
      <c r="C842" s="160"/>
      <c r="D842" s="160"/>
      <c r="E842" s="160"/>
      <c r="F842" s="160"/>
      <c r="G842" s="160"/>
      <c r="H842" s="160"/>
      <c r="I842" s="160"/>
      <c r="J842" s="160"/>
      <c r="K842" s="160"/>
      <c r="L842" s="160"/>
      <c r="M842" s="160"/>
    </row>
    <row r="843" spans="2:13">
      <c r="B843" s="399"/>
      <c r="C843" s="160"/>
      <c r="D843" s="160"/>
      <c r="E843" s="160"/>
      <c r="F843" s="160"/>
      <c r="G843" s="160"/>
      <c r="H843" s="160"/>
      <c r="I843" s="160"/>
      <c r="J843" s="160"/>
      <c r="K843" s="160"/>
      <c r="L843" s="160"/>
      <c r="M843" s="160"/>
    </row>
    <row r="844" spans="2:13">
      <c r="B844" s="399"/>
      <c r="C844" s="160"/>
      <c r="D844" s="160"/>
      <c r="E844" s="160"/>
      <c r="F844" s="160"/>
      <c r="G844" s="160"/>
      <c r="H844" s="160"/>
      <c r="I844" s="160"/>
      <c r="J844" s="160"/>
      <c r="K844" s="160"/>
      <c r="L844" s="160"/>
      <c r="M844" s="160"/>
    </row>
    <row r="845" spans="2:13">
      <c r="B845" s="399"/>
      <c r="C845" s="160"/>
      <c r="D845" s="160"/>
      <c r="E845" s="160"/>
      <c r="F845" s="160"/>
      <c r="G845" s="160"/>
      <c r="H845" s="160"/>
      <c r="I845" s="160"/>
      <c r="J845" s="160"/>
      <c r="K845" s="160"/>
      <c r="L845" s="160"/>
      <c r="M845" s="160"/>
    </row>
    <row r="846" spans="2:13">
      <c r="B846" s="399"/>
      <c r="C846" s="160"/>
      <c r="D846" s="160"/>
      <c r="E846" s="160"/>
      <c r="F846" s="160"/>
      <c r="G846" s="160"/>
      <c r="H846" s="160"/>
      <c r="I846" s="160"/>
      <c r="J846" s="160"/>
      <c r="K846" s="160"/>
      <c r="L846" s="160"/>
      <c r="M846" s="160"/>
    </row>
    <row r="847" spans="2:13">
      <c r="B847" s="399"/>
      <c r="C847" s="160"/>
      <c r="D847" s="160"/>
      <c r="E847" s="160"/>
      <c r="F847" s="160"/>
      <c r="G847" s="160"/>
      <c r="H847" s="160"/>
      <c r="I847" s="160"/>
      <c r="J847" s="160"/>
      <c r="K847" s="160"/>
      <c r="L847" s="160"/>
      <c r="M847" s="160"/>
    </row>
    <row r="848" spans="2:13">
      <c r="B848" s="399"/>
      <c r="C848" s="160"/>
      <c r="D848" s="160"/>
      <c r="E848" s="160"/>
      <c r="F848" s="160"/>
      <c r="G848" s="160"/>
      <c r="H848" s="160"/>
      <c r="I848" s="160"/>
      <c r="J848" s="160"/>
      <c r="K848" s="160"/>
      <c r="L848" s="160"/>
      <c r="M848" s="160"/>
    </row>
    <row r="849" spans="2:13">
      <c r="B849" s="399"/>
      <c r="C849" s="160"/>
      <c r="D849" s="160"/>
      <c r="E849" s="160"/>
      <c r="F849" s="160"/>
      <c r="G849" s="160"/>
      <c r="H849" s="160"/>
      <c r="I849" s="160"/>
      <c r="J849" s="160"/>
      <c r="K849" s="160"/>
      <c r="L849" s="160"/>
      <c r="M849" s="160"/>
    </row>
    <row r="850" spans="2:13">
      <c r="B850" s="399"/>
      <c r="C850" s="160"/>
      <c r="D850" s="160"/>
      <c r="E850" s="160"/>
      <c r="F850" s="160"/>
      <c r="G850" s="160"/>
      <c r="H850" s="160"/>
      <c r="I850" s="160"/>
      <c r="J850" s="160"/>
      <c r="K850" s="160"/>
      <c r="L850" s="160"/>
      <c r="M850" s="160"/>
    </row>
    <row r="851" spans="2:13">
      <c r="B851" s="399"/>
      <c r="C851" s="160"/>
      <c r="D851" s="160"/>
      <c r="E851" s="160"/>
      <c r="F851" s="160"/>
      <c r="G851" s="160"/>
      <c r="H851" s="160"/>
      <c r="I851" s="160"/>
      <c r="J851" s="160"/>
      <c r="K851" s="160"/>
      <c r="L851" s="160"/>
      <c r="M851" s="160"/>
    </row>
    <row r="852" spans="2:13">
      <c r="B852" s="399"/>
      <c r="C852" s="160"/>
      <c r="D852" s="160"/>
      <c r="E852" s="160"/>
      <c r="F852" s="160"/>
      <c r="G852" s="160"/>
      <c r="H852" s="160"/>
      <c r="I852" s="160"/>
      <c r="J852" s="160"/>
      <c r="K852" s="160"/>
      <c r="L852" s="160"/>
      <c r="M852" s="160"/>
    </row>
    <row r="853" spans="2:13">
      <c r="B853" s="399"/>
      <c r="C853" s="160"/>
      <c r="D853" s="160"/>
      <c r="E853" s="160"/>
      <c r="F853" s="160"/>
      <c r="G853" s="160"/>
      <c r="H853" s="160"/>
      <c r="I853" s="160"/>
      <c r="J853" s="160"/>
      <c r="K853" s="160"/>
      <c r="L853" s="160"/>
      <c r="M853" s="160"/>
    </row>
    <row r="854" spans="2:13">
      <c r="B854" s="399"/>
      <c r="C854" s="160"/>
      <c r="D854" s="160"/>
      <c r="E854" s="160"/>
      <c r="F854" s="160"/>
      <c r="G854" s="160"/>
      <c r="H854" s="160"/>
      <c r="I854" s="160"/>
      <c r="J854" s="160"/>
      <c r="K854" s="160"/>
      <c r="L854" s="160"/>
      <c r="M854" s="160"/>
    </row>
    <row r="855" spans="2:13">
      <c r="B855" s="399"/>
      <c r="C855" s="160"/>
      <c r="D855" s="160"/>
      <c r="E855" s="160"/>
      <c r="F855" s="160"/>
      <c r="G855" s="160"/>
      <c r="H855" s="160"/>
      <c r="I855" s="160"/>
      <c r="J855" s="160"/>
      <c r="K855" s="160"/>
      <c r="L855" s="160"/>
      <c r="M855" s="160"/>
    </row>
    <row r="856" spans="2:13">
      <c r="B856" s="399"/>
      <c r="C856" s="160"/>
      <c r="D856" s="160"/>
      <c r="E856" s="160"/>
      <c r="F856" s="160"/>
      <c r="G856" s="160"/>
      <c r="H856" s="160"/>
      <c r="I856" s="160"/>
      <c r="J856" s="160"/>
      <c r="K856" s="160"/>
      <c r="L856" s="160"/>
      <c r="M856" s="160"/>
    </row>
    <row r="857" spans="2:13">
      <c r="B857" s="399"/>
      <c r="C857" s="160"/>
      <c r="D857" s="160"/>
      <c r="E857" s="160"/>
      <c r="F857" s="160"/>
      <c r="G857" s="160"/>
      <c r="H857" s="160"/>
      <c r="I857" s="160"/>
      <c r="J857" s="160"/>
      <c r="K857" s="160"/>
      <c r="L857" s="160"/>
      <c r="M857" s="160"/>
    </row>
    <row r="858" spans="2:13">
      <c r="B858" s="399"/>
      <c r="C858" s="160"/>
      <c r="D858" s="160"/>
      <c r="E858" s="160"/>
      <c r="F858" s="160"/>
      <c r="G858" s="160"/>
      <c r="H858" s="160"/>
      <c r="I858" s="160"/>
      <c r="J858" s="160"/>
      <c r="K858" s="160"/>
      <c r="L858" s="160"/>
      <c r="M858" s="160"/>
    </row>
    <row r="859" spans="2:13">
      <c r="B859" s="399"/>
      <c r="C859" s="160"/>
      <c r="D859" s="160"/>
      <c r="E859" s="160"/>
      <c r="F859" s="160"/>
      <c r="G859" s="160"/>
      <c r="H859" s="160"/>
      <c r="I859" s="160"/>
      <c r="J859" s="160"/>
      <c r="K859" s="160"/>
      <c r="L859" s="160"/>
      <c r="M859" s="160"/>
    </row>
    <row r="860" spans="2:13">
      <c r="B860" s="399"/>
      <c r="C860" s="160"/>
      <c r="D860" s="160"/>
      <c r="E860" s="160"/>
      <c r="F860" s="160"/>
      <c r="G860" s="160"/>
      <c r="H860" s="160"/>
      <c r="I860" s="160"/>
      <c r="J860" s="160"/>
      <c r="K860" s="160"/>
      <c r="L860" s="160"/>
      <c r="M860" s="160"/>
    </row>
    <row r="861" spans="2:13">
      <c r="B861" s="399"/>
      <c r="C861" s="160"/>
      <c r="D861" s="160"/>
      <c r="E861" s="160"/>
      <c r="F861" s="160"/>
      <c r="G861" s="160"/>
      <c r="H861" s="160"/>
      <c r="I861" s="160"/>
      <c r="J861" s="160"/>
      <c r="K861" s="160"/>
      <c r="L861" s="160"/>
      <c r="M861" s="160"/>
    </row>
    <row r="862" spans="2:13">
      <c r="B862" s="399"/>
      <c r="C862" s="160"/>
      <c r="D862" s="160"/>
      <c r="E862" s="160"/>
      <c r="F862" s="160"/>
      <c r="G862" s="160"/>
      <c r="H862" s="160"/>
      <c r="I862" s="160"/>
      <c r="J862" s="160"/>
      <c r="K862" s="160"/>
      <c r="L862" s="160"/>
      <c r="M862" s="160"/>
    </row>
    <row r="863" spans="2:13">
      <c r="B863" s="399"/>
      <c r="C863" s="160"/>
      <c r="D863" s="160"/>
      <c r="E863" s="160"/>
      <c r="F863" s="160"/>
      <c r="G863" s="160"/>
      <c r="H863" s="160"/>
      <c r="I863" s="160"/>
      <c r="J863" s="160"/>
      <c r="K863" s="160"/>
      <c r="L863" s="160"/>
      <c r="M863" s="160"/>
    </row>
    <row r="864" spans="2:13">
      <c r="B864" s="399"/>
      <c r="C864" s="160"/>
      <c r="D864" s="160"/>
      <c r="E864" s="160"/>
      <c r="F864" s="160"/>
      <c r="G864" s="160"/>
      <c r="H864" s="160"/>
      <c r="I864" s="160"/>
      <c r="J864" s="160"/>
      <c r="K864" s="160"/>
      <c r="L864" s="160"/>
      <c r="M864" s="160"/>
    </row>
    <row r="865" spans="2:13">
      <c r="B865" s="399"/>
      <c r="C865" s="160"/>
      <c r="D865" s="160"/>
      <c r="E865" s="160"/>
      <c r="F865" s="160"/>
      <c r="G865" s="160"/>
      <c r="H865" s="160"/>
      <c r="I865" s="160"/>
      <c r="J865" s="160"/>
      <c r="K865" s="160"/>
      <c r="L865" s="160"/>
      <c r="M865" s="160"/>
    </row>
    <row r="866" spans="2:13">
      <c r="B866" s="399"/>
      <c r="C866" s="160"/>
      <c r="D866" s="160"/>
      <c r="E866" s="160"/>
      <c r="F866" s="160"/>
      <c r="G866" s="160"/>
      <c r="H866" s="160"/>
      <c r="I866" s="160"/>
      <c r="J866" s="160"/>
      <c r="K866" s="160"/>
      <c r="L866" s="160"/>
      <c r="M866" s="160"/>
    </row>
    <row r="867" spans="2:13">
      <c r="B867" s="399"/>
      <c r="C867" s="160"/>
      <c r="D867" s="160"/>
      <c r="E867" s="160"/>
      <c r="F867" s="160"/>
      <c r="G867" s="160"/>
      <c r="H867" s="160"/>
      <c r="I867" s="160"/>
      <c r="J867" s="160"/>
      <c r="K867" s="160"/>
      <c r="L867" s="160"/>
      <c r="M867" s="160"/>
    </row>
    <row r="868" spans="2:13">
      <c r="B868" s="399"/>
      <c r="C868" s="160"/>
      <c r="D868" s="160"/>
      <c r="E868" s="160"/>
      <c r="F868" s="160"/>
      <c r="G868" s="160"/>
      <c r="H868" s="160"/>
      <c r="I868" s="160"/>
      <c r="J868" s="160"/>
      <c r="K868" s="160"/>
      <c r="L868" s="160"/>
      <c r="M868" s="160"/>
    </row>
    <row r="869" spans="2:13">
      <c r="B869" s="399"/>
      <c r="C869" s="160"/>
      <c r="D869" s="160"/>
      <c r="E869" s="160"/>
      <c r="F869" s="160"/>
      <c r="G869" s="160"/>
      <c r="H869" s="160"/>
      <c r="I869" s="160"/>
      <c r="J869" s="160"/>
      <c r="K869" s="160"/>
      <c r="L869" s="160"/>
      <c r="M869" s="160"/>
    </row>
    <row r="870" spans="2:13">
      <c r="B870" s="399"/>
      <c r="C870" s="160"/>
      <c r="D870" s="160"/>
      <c r="E870" s="160"/>
      <c r="F870" s="160"/>
      <c r="G870" s="160"/>
      <c r="H870" s="160"/>
      <c r="I870" s="160"/>
      <c r="J870" s="160"/>
      <c r="K870" s="160"/>
      <c r="L870" s="160"/>
      <c r="M870" s="160"/>
    </row>
    <row r="871" spans="2:13">
      <c r="B871" s="399"/>
      <c r="C871" s="160"/>
      <c r="D871" s="160"/>
      <c r="E871" s="160"/>
      <c r="F871" s="160"/>
      <c r="G871" s="160"/>
      <c r="H871" s="160"/>
      <c r="I871" s="160"/>
      <c r="J871" s="160"/>
      <c r="K871" s="160"/>
      <c r="L871" s="160"/>
      <c r="M871" s="160"/>
    </row>
    <row r="872" spans="2:13">
      <c r="B872" s="399"/>
      <c r="C872" s="160"/>
      <c r="D872" s="160"/>
      <c r="E872" s="160"/>
      <c r="F872" s="160"/>
      <c r="G872" s="160"/>
      <c r="H872" s="160"/>
      <c r="I872" s="160"/>
      <c r="J872" s="160"/>
      <c r="K872" s="160"/>
      <c r="L872" s="160"/>
      <c r="M872" s="160"/>
    </row>
    <row r="873" spans="2:13">
      <c r="B873" s="399"/>
      <c r="C873" s="160"/>
      <c r="D873" s="160"/>
      <c r="E873" s="160"/>
      <c r="F873" s="160"/>
      <c r="G873" s="160"/>
      <c r="H873" s="160"/>
      <c r="I873" s="160"/>
      <c r="J873" s="160"/>
      <c r="K873" s="160"/>
      <c r="L873" s="160"/>
      <c r="M873" s="160"/>
    </row>
    <row r="874" spans="2:13">
      <c r="B874" s="399"/>
      <c r="C874" s="160"/>
      <c r="D874" s="160"/>
      <c r="E874" s="160"/>
      <c r="F874" s="160"/>
      <c r="G874" s="160"/>
      <c r="H874" s="160"/>
      <c r="I874" s="160"/>
      <c r="J874" s="160"/>
      <c r="K874" s="160"/>
      <c r="L874" s="160"/>
      <c r="M874" s="160"/>
    </row>
    <row r="875" spans="2:13">
      <c r="B875" s="399"/>
      <c r="C875" s="160"/>
      <c r="D875" s="160"/>
      <c r="E875" s="160"/>
      <c r="F875" s="160"/>
      <c r="G875" s="160"/>
      <c r="H875" s="160"/>
      <c r="I875" s="160"/>
      <c r="J875" s="160"/>
      <c r="K875" s="160"/>
      <c r="L875" s="160"/>
      <c r="M875" s="160"/>
    </row>
    <row r="876" spans="2:13">
      <c r="B876" s="399"/>
      <c r="C876" s="160"/>
      <c r="D876" s="160"/>
      <c r="E876" s="160"/>
      <c r="F876" s="160"/>
      <c r="G876" s="160"/>
      <c r="H876" s="160"/>
      <c r="I876" s="160"/>
      <c r="J876" s="160"/>
      <c r="K876" s="160"/>
      <c r="L876" s="160"/>
      <c r="M876" s="160"/>
    </row>
    <row r="877" spans="2:13">
      <c r="B877" s="399"/>
      <c r="C877" s="160"/>
      <c r="D877" s="160"/>
      <c r="E877" s="160"/>
      <c r="F877" s="160"/>
      <c r="G877" s="160"/>
      <c r="H877" s="160"/>
      <c r="I877" s="160"/>
      <c r="J877" s="160"/>
      <c r="K877" s="160"/>
      <c r="L877" s="160"/>
      <c r="M877" s="160"/>
    </row>
    <row r="878" spans="2:13">
      <c r="B878" s="399"/>
      <c r="C878" s="160"/>
      <c r="D878" s="160"/>
      <c r="E878" s="160"/>
      <c r="F878" s="160"/>
      <c r="G878" s="160"/>
      <c r="H878" s="160"/>
      <c r="I878" s="160"/>
      <c r="J878" s="160"/>
      <c r="K878" s="160"/>
      <c r="L878" s="160"/>
      <c r="M878" s="160"/>
    </row>
    <row r="879" spans="2:13">
      <c r="B879" s="399"/>
      <c r="C879" s="160"/>
      <c r="D879" s="160"/>
      <c r="E879" s="160"/>
      <c r="F879" s="160"/>
      <c r="G879" s="160"/>
      <c r="H879" s="160"/>
      <c r="I879" s="160"/>
      <c r="J879" s="160"/>
      <c r="K879" s="160"/>
      <c r="L879" s="160"/>
      <c r="M879" s="160"/>
    </row>
    <row r="880" spans="2:13">
      <c r="B880" s="399"/>
      <c r="C880" s="160"/>
      <c r="D880" s="160"/>
      <c r="E880" s="160"/>
      <c r="F880" s="160"/>
      <c r="G880" s="160"/>
      <c r="H880" s="160"/>
      <c r="I880" s="160"/>
      <c r="J880" s="160"/>
      <c r="K880" s="160"/>
      <c r="L880" s="160"/>
      <c r="M880" s="160"/>
    </row>
    <row r="881" spans="2:13">
      <c r="B881" s="399"/>
      <c r="C881" s="160"/>
      <c r="D881" s="160"/>
      <c r="E881" s="160"/>
      <c r="F881" s="160"/>
      <c r="G881" s="160"/>
      <c r="H881" s="160"/>
      <c r="I881" s="160"/>
      <c r="J881" s="160"/>
      <c r="K881" s="160"/>
      <c r="L881" s="160"/>
      <c r="M881" s="160"/>
    </row>
    <row r="882" spans="2:13">
      <c r="B882" s="399"/>
      <c r="C882" s="160"/>
      <c r="D882" s="160"/>
      <c r="E882" s="160"/>
      <c r="F882" s="160"/>
      <c r="G882" s="160"/>
      <c r="H882" s="160"/>
      <c r="I882" s="160"/>
      <c r="J882" s="160"/>
      <c r="K882" s="160"/>
      <c r="L882" s="160"/>
      <c r="M882" s="160"/>
    </row>
    <row r="883" spans="2:13">
      <c r="B883" s="399"/>
      <c r="C883" s="160"/>
      <c r="D883" s="160"/>
      <c r="E883" s="160"/>
      <c r="F883" s="160"/>
      <c r="G883" s="160"/>
      <c r="H883" s="160"/>
      <c r="I883" s="160"/>
      <c r="J883" s="160"/>
      <c r="K883" s="160"/>
      <c r="L883" s="160"/>
      <c r="M883" s="160"/>
    </row>
    <row r="884" spans="2:13">
      <c r="B884" s="399"/>
      <c r="C884" s="160"/>
      <c r="D884" s="160"/>
      <c r="E884" s="160"/>
      <c r="F884" s="160"/>
      <c r="G884" s="160"/>
      <c r="H884" s="160"/>
      <c r="I884" s="160"/>
      <c r="J884" s="160"/>
      <c r="K884" s="160"/>
      <c r="L884" s="160"/>
      <c r="M884" s="160"/>
    </row>
    <row r="885" spans="2:13">
      <c r="B885" s="399"/>
      <c r="C885" s="160"/>
      <c r="D885" s="160"/>
      <c r="E885" s="160"/>
      <c r="F885" s="160"/>
      <c r="G885" s="160"/>
      <c r="H885" s="160"/>
      <c r="I885" s="160"/>
      <c r="J885" s="160"/>
      <c r="K885" s="160"/>
      <c r="L885" s="160"/>
      <c r="M885" s="160"/>
    </row>
    <row r="886" spans="2:13">
      <c r="B886" s="399"/>
      <c r="C886" s="160"/>
      <c r="D886" s="160"/>
      <c r="E886" s="160"/>
      <c r="F886" s="160"/>
      <c r="G886" s="160"/>
      <c r="H886" s="160"/>
      <c r="I886" s="160"/>
      <c r="J886" s="160"/>
      <c r="K886" s="160"/>
      <c r="L886" s="160"/>
      <c r="M886" s="160"/>
    </row>
    <row r="887" spans="2:13">
      <c r="B887" s="399"/>
      <c r="C887" s="160"/>
      <c r="D887" s="160"/>
      <c r="E887" s="160"/>
      <c r="F887" s="160"/>
      <c r="G887" s="160"/>
      <c r="H887" s="160"/>
      <c r="I887" s="160"/>
      <c r="J887" s="160"/>
      <c r="K887" s="160"/>
      <c r="L887" s="160"/>
      <c r="M887" s="160"/>
    </row>
    <row r="888" spans="2:13">
      <c r="B888" s="399"/>
      <c r="C888" s="160"/>
      <c r="D888" s="160"/>
      <c r="E888" s="160"/>
      <c r="F888" s="160"/>
      <c r="G888" s="160"/>
      <c r="H888" s="160"/>
      <c r="I888" s="160"/>
      <c r="J888" s="160"/>
      <c r="K888" s="160"/>
      <c r="L888" s="160"/>
      <c r="M888" s="160"/>
    </row>
    <row r="889" spans="2:13">
      <c r="B889" s="399"/>
      <c r="C889" s="160"/>
      <c r="D889" s="160"/>
      <c r="E889" s="160"/>
      <c r="F889" s="160"/>
      <c r="G889" s="160"/>
      <c r="H889" s="160"/>
      <c r="I889" s="160"/>
      <c r="J889" s="160"/>
      <c r="K889" s="160"/>
      <c r="L889" s="160"/>
      <c r="M889" s="160"/>
    </row>
    <row r="890" spans="2:13">
      <c r="B890" s="399"/>
      <c r="C890" s="160"/>
      <c r="D890" s="160"/>
      <c r="E890" s="160"/>
      <c r="F890" s="160"/>
      <c r="G890" s="160"/>
      <c r="H890" s="160"/>
      <c r="I890" s="160"/>
      <c r="J890" s="160"/>
      <c r="K890" s="160"/>
      <c r="L890" s="160"/>
      <c r="M890" s="160"/>
    </row>
    <row r="891" spans="2:13">
      <c r="B891" s="399"/>
      <c r="C891" s="160"/>
      <c r="D891" s="160"/>
      <c r="E891" s="160"/>
      <c r="F891" s="160"/>
      <c r="G891" s="160"/>
      <c r="H891" s="160"/>
      <c r="I891" s="160"/>
      <c r="J891" s="160"/>
      <c r="K891" s="160"/>
      <c r="L891" s="160"/>
      <c r="M891" s="160"/>
    </row>
    <row r="892" spans="2:13">
      <c r="B892" s="399"/>
      <c r="C892" s="160"/>
      <c r="D892" s="160"/>
      <c r="E892" s="160"/>
      <c r="F892" s="160"/>
      <c r="G892" s="160"/>
      <c r="H892" s="160"/>
      <c r="I892" s="160"/>
      <c r="J892" s="160"/>
      <c r="K892" s="160"/>
      <c r="L892" s="160"/>
      <c r="M892" s="160"/>
    </row>
    <row r="893" spans="2:13">
      <c r="B893" s="399"/>
      <c r="C893" s="160"/>
      <c r="D893" s="160"/>
      <c r="E893" s="160"/>
      <c r="F893" s="160"/>
      <c r="G893" s="160"/>
      <c r="H893" s="160"/>
      <c r="I893" s="160"/>
      <c r="J893" s="160"/>
      <c r="K893" s="160"/>
      <c r="L893" s="160"/>
      <c r="M893" s="160"/>
    </row>
    <row r="894" spans="2:13">
      <c r="B894" s="399"/>
      <c r="C894" s="160"/>
      <c r="D894" s="160"/>
      <c r="E894" s="160"/>
      <c r="F894" s="160"/>
      <c r="G894" s="160"/>
      <c r="H894" s="160"/>
      <c r="I894" s="160"/>
      <c r="J894" s="160"/>
      <c r="K894" s="160"/>
      <c r="L894" s="160"/>
      <c r="M894" s="160"/>
    </row>
    <row r="895" spans="2:13">
      <c r="B895" s="399"/>
      <c r="C895" s="160"/>
      <c r="D895" s="160"/>
      <c r="E895" s="160"/>
      <c r="F895" s="160"/>
      <c r="G895" s="160"/>
      <c r="H895" s="160"/>
      <c r="I895" s="160"/>
      <c r="J895" s="160"/>
      <c r="K895" s="160"/>
      <c r="L895" s="160"/>
      <c r="M895" s="160"/>
    </row>
    <row r="896" spans="2:13">
      <c r="B896" s="399"/>
      <c r="C896" s="160"/>
      <c r="D896" s="160"/>
      <c r="E896" s="160"/>
      <c r="F896" s="160"/>
      <c r="G896" s="160"/>
      <c r="H896" s="160"/>
      <c r="I896" s="160"/>
      <c r="J896" s="160"/>
      <c r="K896" s="160"/>
      <c r="L896" s="160"/>
      <c r="M896" s="160"/>
    </row>
    <row r="897" spans="2:13">
      <c r="B897" s="399"/>
      <c r="C897" s="160"/>
      <c r="D897" s="160"/>
      <c r="E897" s="160"/>
      <c r="F897" s="160"/>
      <c r="G897" s="160"/>
      <c r="H897" s="160"/>
      <c r="I897" s="160"/>
      <c r="J897" s="160"/>
      <c r="K897" s="160"/>
      <c r="L897" s="160"/>
      <c r="M897" s="160"/>
    </row>
    <row r="898" spans="2:13">
      <c r="B898" s="399"/>
      <c r="C898" s="160"/>
      <c r="D898" s="160"/>
      <c r="E898" s="160"/>
      <c r="F898" s="160"/>
      <c r="G898" s="160"/>
      <c r="H898" s="160"/>
      <c r="I898" s="160"/>
      <c r="J898" s="160"/>
      <c r="K898" s="160"/>
      <c r="L898" s="160"/>
      <c r="M898" s="160"/>
    </row>
    <row r="899" spans="2:13">
      <c r="B899" s="399"/>
      <c r="C899" s="160"/>
      <c r="D899" s="160"/>
      <c r="E899" s="160"/>
      <c r="F899" s="160"/>
      <c r="G899" s="160"/>
      <c r="H899" s="160"/>
      <c r="I899" s="160"/>
      <c r="J899" s="160"/>
      <c r="K899" s="160"/>
      <c r="L899" s="160"/>
      <c r="M899" s="160"/>
    </row>
    <row r="900" spans="2:13">
      <c r="B900" s="399"/>
      <c r="C900" s="160"/>
      <c r="D900" s="160"/>
      <c r="E900" s="160"/>
      <c r="F900" s="160"/>
      <c r="G900" s="160"/>
      <c r="H900" s="160"/>
      <c r="I900" s="160"/>
      <c r="J900" s="160"/>
      <c r="K900" s="160"/>
      <c r="L900" s="160"/>
      <c r="M900" s="160"/>
    </row>
    <row r="901" spans="2:13">
      <c r="B901" s="399"/>
      <c r="C901" s="160"/>
      <c r="D901" s="160"/>
      <c r="E901" s="160"/>
      <c r="F901" s="160"/>
      <c r="G901" s="160"/>
      <c r="H901" s="160"/>
      <c r="I901" s="160"/>
      <c r="J901" s="160"/>
      <c r="K901" s="160"/>
      <c r="L901" s="160"/>
      <c r="M901" s="160"/>
    </row>
    <row r="902" spans="2:13">
      <c r="B902" s="399"/>
      <c r="C902" s="160"/>
      <c r="D902" s="160"/>
      <c r="E902" s="160"/>
      <c r="F902" s="160"/>
      <c r="G902" s="160"/>
      <c r="H902" s="160"/>
      <c r="I902" s="160"/>
      <c r="J902" s="160"/>
      <c r="K902" s="160"/>
      <c r="L902" s="160"/>
      <c r="M902" s="160"/>
    </row>
    <row r="903" spans="2:13">
      <c r="B903" s="399"/>
      <c r="C903" s="160"/>
      <c r="D903" s="160"/>
      <c r="E903" s="160"/>
      <c r="F903" s="160"/>
      <c r="G903" s="160"/>
      <c r="H903" s="160"/>
      <c r="I903" s="160"/>
      <c r="J903" s="160"/>
      <c r="K903" s="160"/>
      <c r="L903" s="160"/>
      <c r="M903" s="160"/>
    </row>
    <row r="904" spans="2:13">
      <c r="B904" s="399"/>
      <c r="C904" s="160"/>
      <c r="D904" s="160"/>
      <c r="E904" s="160"/>
      <c r="F904" s="160"/>
      <c r="G904" s="160"/>
      <c r="H904" s="160"/>
      <c r="I904" s="160"/>
      <c r="J904" s="160"/>
      <c r="K904" s="160"/>
      <c r="L904" s="160"/>
      <c r="M904" s="160"/>
    </row>
    <row r="905" spans="2:13">
      <c r="B905" s="399"/>
      <c r="C905" s="160"/>
      <c r="D905" s="160"/>
      <c r="E905" s="160"/>
      <c r="F905" s="160"/>
      <c r="G905" s="160"/>
      <c r="H905" s="160"/>
      <c r="I905" s="160"/>
      <c r="J905" s="160"/>
      <c r="K905" s="160"/>
      <c r="L905" s="160"/>
      <c r="M905" s="160"/>
    </row>
    <row r="906" spans="2:13">
      <c r="B906" s="399"/>
      <c r="C906" s="160"/>
      <c r="D906" s="160"/>
      <c r="E906" s="160"/>
      <c r="F906" s="160"/>
      <c r="G906" s="160"/>
      <c r="H906" s="160"/>
      <c r="I906" s="160"/>
      <c r="J906" s="160"/>
      <c r="K906" s="160"/>
      <c r="L906" s="160"/>
      <c r="M906" s="160"/>
    </row>
    <row r="907" spans="2:13">
      <c r="B907" s="399"/>
      <c r="C907" s="160"/>
      <c r="D907" s="160"/>
      <c r="E907" s="160"/>
      <c r="F907" s="160"/>
      <c r="G907" s="160"/>
      <c r="H907" s="160"/>
      <c r="I907" s="160"/>
      <c r="J907" s="160"/>
      <c r="K907" s="160"/>
      <c r="L907" s="160"/>
      <c r="M907" s="160"/>
    </row>
    <row r="908" spans="2:13">
      <c r="B908" s="399"/>
      <c r="C908" s="160"/>
      <c r="D908" s="160"/>
      <c r="E908" s="160"/>
      <c r="F908" s="160"/>
      <c r="G908" s="160"/>
      <c r="H908" s="160"/>
      <c r="I908" s="160"/>
      <c r="J908" s="160"/>
      <c r="K908" s="160"/>
      <c r="L908" s="160"/>
      <c r="M908" s="160"/>
    </row>
    <row r="909" spans="2:13">
      <c r="B909" s="399"/>
      <c r="C909" s="160"/>
      <c r="D909" s="160"/>
      <c r="E909" s="160"/>
      <c r="F909" s="160"/>
      <c r="G909" s="160"/>
      <c r="H909" s="160"/>
      <c r="I909" s="160"/>
      <c r="J909" s="160"/>
      <c r="K909" s="160"/>
      <c r="L909" s="160"/>
      <c r="M909" s="160"/>
    </row>
    <row r="910" spans="2:13">
      <c r="B910" s="399"/>
      <c r="C910" s="160"/>
      <c r="D910" s="160"/>
      <c r="E910" s="160"/>
      <c r="F910" s="160"/>
      <c r="G910" s="160"/>
      <c r="H910" s="160"/>
      <c r="I910" s="160"/>
      <c r="J910" s="160"/>
      <c r="K910" s="160"/>
      <c r="L910" s="160"/>
      <c r="M910" s="160"/>
    </row>
    <row r="911" spans="2:13">
      <c r="B911" s="399"/>
      <c r="C911" s="160"/>
      <c r="D911" s="160"/>
      <c r="E911" s="160"/>
      <c r="F911" s="160"/>
      <c r="G911" s="160"/>
      <c r="H911" s="160"/>
      <c r="I911" s="160"/>
      <c r="J911" s="160"/>
      <c r="K911" s="160"/>
      <c r="L911" s="160"/>
      <c r="M911" s="160"/>
    </row>
    <row r="912" spans="2:13">
      <c r="B912" s="399"/>
      <c r="C912" s="160"/>
      <c r="D912" s="160"/>
      <c r="E912" s="160"/>
      <c r="F912" s="160"/>
      <c r="G912" s="160"/>
      <c r="H912" s="160"/>
      <c r="I912" s="160"/>
      <c r="J912" s="160"/>
      <c r="K912" s="160"/>
      <c r="L912" s="160"/>
      <c r="M912" s="160"/>
    </row>
    <row r="913" spans="2:13">
      <c r="B913" s="399"/>
      <c r="C913" s="160"/>
      <c r="D913" s="160"/>
      <c r="E913" s="160"/>
      <c r="F913" s="160"/>
      <c r="G913" s="160"/>
      <c r="H913" s="160"/>
      <c r="I913" s="160"/>
      <c r="J913" s="160"/>
      <c r="K913" s="160"/>
      <c r="L913" s="160"/>
      <c r="M913" s="160"/>
    </row>
    <row r="914" spans="2:13">
      <c r="B914" s="399"/>
      <c r="C914" s="160"/>
      <c r="D914" s="160"/>
      <c r="E914" s="160"/>
      <c r="F914" s="160"/>
      <c r="G914" s="160"/>
      <c r="H914" s="160"/>
      <c r="I914" s="160"/>
      <c r="J914" s="160"/>
      <c r="K914" s="160"/>
      <c r="L914" s="160"/>
      <c r="M914" s="160"/>
    </row>
    <row r="915" spans="2:13">
      <c r="B915" s="399"/>
      <c r="C915" s="160"/>
      <c r="D915" s="160"/>
      <c r="E915" s="160"/>
      <c r="F915" s="160"/>
      <c r="G915" s="160"/>
      <c r="H915" s="160"/>
      <c r="I915" s="160"/>
      <c r="J915" s="160"/>
      <c r="K915" s="160"/>
      <c r="L915" s="160"/>
      <c r="M915" s="160"/>
    </row>
    <row r="916" spans="2:13">
      <c r="B916" s="399"/>
      <c r="C916" s="160"/>
      <c r="D916" s="160"/>
      <c r="E916" s="160"/>
      <c r="F916" s="160"/>
      <c r="G916" s="160"/>
      <c r="H916" s="160"/>
      <c r="I916" s="160"/>
      <c r="J916" s="160"/>
      <c r="K916" s="160"/>
      <c r="L916" s="160"/>
      <c r="M916" s="160"/>
    </row>
    <row r="917" spans="2:13">
      <c r="B917" s="399"/>
      <c r="C917" s="160"/>
      <c r="D917" s="160"/>
      <c r="E917" s="160"/>
      <c r="F917" s="160"/>
      <c r="G917" s="160"/>
      <c r="H917" s="160"/>
      <c r="I917" s="160"/>
      <c r="J917" s="160"/>
      <c r="K917" s="160"/>
      <c r="L917" s="160"/>
      <c r="M917" s="160"/>
    </row>
    <row r="918" spans="2:13">
      <c r="B918" s="399"/>
      <c r="C918" s="160"/>
      <c r="D918" s="160"/>
      <c r="E918" s="160"/>
      <c r="F918" s="160"/>
      <c r="G918" s="160"/>
      <c r="H918" s="160"/>
      <c r="I918" s="160"/>
      <c r="J918" s="160"/>
      <c r="K918" s="160"/>
      <c r="L918" s="160"/>
      <c r="M918" s="160"/>
    </row>
    <row r="919" spans="2:13">
      <c r="B919" s="399"/>
      <c r="C919" s="160"/>
      <c r="D919" s="160"/>
      <c r="E919" s="160"/>
      <c r="F919" s="160"/>
      <c r="G919" s="160"/>
      <c r="H919" s="160"/>
      <c r="I919" s="160"/>
      <c r="J919" s="160"/>
      <c r="K919" s="160"/>
      <c r="L919" s="160"/>
      <c r="M919" s="160"/>
    </row>
    <row r="920" spans="2:13">
      <c r="B920" s="399"/>
      <c r="C920" s="160"/>
      <c r="D920" s="160"/>
      <c r="E920" s="160"/>
      <c r="F920" s="160"/>
      <c r="G920" s="160"/>
      <c r="H920" s="160"/>
      <c r="I920" s="160"/>
      <c r="J920" s="160"/>
      <c r="K920" s="160"/>
      <c r="L920" s="160"/>
      <c r="M920" s="160"/>
    </row>
    <row r="921" spans="2:13">
      <c r="B921" s="399"/>
      <c r="C921" s="160"/>
      <c r="D921" s="160"/>
      <c r="E921" s="160"/>
      <c r="F921" s="160"/>
      <c r="G921" s="160"/>
      <c r="H921" s="160"/>
      <c r="I921" s="160"/>
      <c r="J921" s="160"/>
      <c r="K921" s="160"/>
      <c r="L921" s="160"/>
      <c r="M921" s="160"/>
    </row>
    <row r="922" spans="2:13">
      <c r="B922" s="399"/>
      <c r="C922" s="160"/>
      <c r="D922" s="160"/>
      <c r="E922" s="160"/>
      <c r="F922" s="160"/>
      <c r="G922" s="160"/>
      <c r="H922" s="160"/>
      <c r="I922" s="160"/>
      <c r="J922" s="160"/>
      <c r="K922" s="160"/>
      <c r="L922" s="160"/>
      <c r="M922" s="160"/>
    </row>
    <row r="923" spans="2:13">
      <c r="B923" s="399"/>
      <c r="C923" s="160"/>
      <c r="D923" s="160"/>
      <c r="E923" s="160"/>
      <c r="F923" s="160"/>
      <c r="G923" s="160"/>
      <c r="H923" s="160"/>
      <c r="I923" s="160"/>
      <c r="J923" s="160"/>
      <c r="K923" s="160"/>
      <c r="L923" s="160"/>
      <c r="M923" s="160"/>
    </row>
    <row r="924" spans="2:13">
      <c r="B924" s="399"/>
      <c r="C924" s="160"/>
      <c r="D924" s="160"/>
      <c r="E924" s="160"/>
      <c r="F924" s="160"/>
      <c r="G924" s="160"/>
      <c r="H924" s="160"/>
      <c r="I924" s="160"/>
      <c r="J924" s="160"/>
      <c r="K924" s="160"/>
      <c r="L924" s="160"/>
      <c r="M924" s="160"/>
    </row>
    <row r="925" spans="2:13">
      <c r="B925" s="399"/>
      <c r="C925" s="160"/>
      <c r="D925" s="160"/>
      <c r="E925" s="160"/>
      <c r="F925" s="160"/>
      <c r="G925" s="160"/>
      <c r="H925" s="160"/>
      <c r="I925" s="160"/>
      <c r="J925" s="160"/>
      <c r="K925" s="160"/>
      <c r="L925" s="160"/>
      <c r="M925" s="160"/>
    </row>
    <row r="926" spans="2:13">
      <c r="B926" s="399"/>
      <c r="C926" s="160"/>
      <c r="D926" s="160"/>
      <c r="E926" s="160"/>
      <c r="F926" s="160"/>
      <c r="G926" s="160"/>
      <c r="H926" s="160"/>
      <c r="I926" s="160"/>
      <c r="J926" s="160"/>
      <c r="K926" s="160"/>
      <c r="L926" s="160"/>
      <c r="M926" s="160"/>
    </row>
    <row r="927" spans="2:13">
      <c r="B927" s="399"/>
      <c r="C927" s="160"/>
      <c r="D927" s="160"/>
      <c r="E927" s="160"/>
      <c r="F927" s="160"/>
      <c r="G927" s="160"/>
      <c r="H927" s="160"/>
      <c r="I927" s="160"/>
      <c r="J927" s="160"/>
      <c r="K927" s="160"/>
      <c r="L927" s="160"/>
      <c r="M927" s="160"/>
    </row>
    <row r="928" spans="2:13">
      <c r="B928" s="399"/>
      <c r="C928" s="160"/>
      <c r="D928" s="160"/>
      <c r="E928" s="160"/>
      <c r="F928" s="160"/>
      <c r="G928" s="160"/>
      <c r="H928" s="160"/>
      <c r="I928" s="160"/>
      <c r="J928" s="160"/>
      <c r="K928" s="160"/>
      <c r="L928" s="160"/>
      <c r="M928" s="160"/>
    </row>
    <row r="929" spans="2:13">
      <c r="B929" s="399"/>
      <c r="C929" s="160"/>
      <c r="D929" s="160"/>
      <c r="E929" s="160"/>
      <c r="F929" s="160"/>
      <c r="G929" s="160"/>
      <c r="H929" s="160"/>
      <c r="I929" s="160"/>
      <c r="J929" s="160"/>
      <c r="K929" s="160"/>
      <c r="L929" s="160"/>
      <c r="M929" s="160"/>
    </row>
    <row r="930" spans="2:13">
      <c r="B930" s="399"/>
      <c r="C930" s="160"/>
      <c r="D930" s="160"/>
      <c r="E930" s="160"/>
      <c r="F930" s="160"/>
      <c r="G930" s="160"/>
      <c r="H930" s="160"/>
      <c r="I930" s="160"/>
      <c r="J930" s="160"/>
      <c r="K930" s="160"/>
      <c r="L930" s="160"/>
      <c r="M930" s="160"/>
    </row>
    <row r="931" spans="2:13">
      <c r="B931" s="399"/>
      <c r="C931" s="160"/>
      <c r="D931" s="160"/>
      <c r="E931" s="160"/>
      <c r="F931" s="160"/>
      <c r="G931" s="160"/>
      <c r="H931" s="160"/>
      <c r="I931" s="160"/>
      <c r="J931" s="160"/>
      <c r="K931" s="160"/>
      <c r="L931" s="160"/>
      <c r="M931" s="160"/>
    </row>
    <row r="932" spans="2:13">
      <c r="B932" s="399"/>
      <c r="C932" s="160"/>
      <c r="D932" s="160"/>
      <c r="E932" s="160"/>
      <c r="F932" s="160"/>
      <c r="G932" s="160"/>
      <c r="H932" s="160"/>
      <c r="I932" s="160"/>
      <c r="J932" s="160"/>
      <c r="K932" s="160"/>
      <c r="L932" s="160"/>
      <c r="M932" s="160"/>
    </row>
    <row r="933" spans="2:13">
      <c r="B933" s="399"/>
      <c r="C933" s="160"/>
      <c r="D933" s="160"/>
      <c r="E933" s="160"/>
      <c r="F933" s="160"/>
      <c r="G933" s="160"/>
      <c r="H933" s="160"/>
      <c r="I933" s="160"/>
      <c r="J933" s="160"/>
      <c r="K933" s="160"/>
      <c r="L933" s="160"/>
      <c r="M933" s="160"/>
    </row>
    <row r="934" spans="2:13">
      <c r="B934" s="399"/>
      <c r="C934" s="160"/>
      <c r="D934" s="160"/>
      <c r="E934" s="160"/>
      <c r="F934" s="160"/>
      <c r="G934" s="160"/>
      <c r="H934" s="160"/>
      <c r="I934" s="160"/>
      <c r="J934" s="160"/>
      <c r="K934" s="160"/>
      <c r="L934" s="160"/>
      <c r="M934" s="160"/>
    </row>
    <row r="935" spans="2:13">
      <c r="B935" s="399"/>
      <c r="C935" s="160"/>
      <c r="D935" s="160"/>
      <c r="E935" s="160"/>
      <c r="F935" s="160"/>
      <c r="G935" s="160"/>
      <c r="H935" s="160"/>
      <c r="I935" s="160"/>
      <c r="J935" s="160"/>
      <c r="K935" s="160"/>
      <c r="L935" s="160"/>
      <c r="M935" s="160"/>
    </row>
    <row r="936" spans="2:13">
      <c r="B936" s="399"/>
      <c r="C936" s="160"/>
      <c r="D936" s="160"/>
      <c r="E936" s="160"/>
      <c r="F936" s="160"/>
      <c r="G936" s="160"/>
      <c r="H936" s="160"/>
      <c r="I936" s="160"/>
      <c r="J936" s="160"/>
      <c r="K936" s="160"/>
      <c r="L936" s="160"/>
      <c r="M936" s="160"/>
    </row>
    <row r="937" spans="2:13">
      <c r="B937" s="399"/>
      <c r="C937" s="160"/>
      <c r="D937" s="160"/>
      <c r="E937" s="160"/>
      <c r="F937" s="160"/>
      <c r="G937" s="160"/>
      <c r="H937" s="160"/>
      <c r="I937" s="160"/>
      <c r="J937" s="160"/>
      <c r="K937" s="160"/>
      <c r="L937" s="160"/>
      <c r="M937" s="160"/>
    </row>
    <row r="938" spans="2:13">
      <c r="B938" s="399"/>
      <c r="C938" s="160"/>
      <c r="D938" s="160"/>
      <c r="E938" s="160"/>
      <c r="F938" s="160"/>
      <c r="G938" s="160"/>
      <c r="H938" s="160"/>
      <c r="I938" s="160"/>
      <c r="J938" s="160"/>
      <c r="K938" s="160"/>
      <c r="L938" s="160"/>
      <c r="M938" s="160"/>
    </row>
    <row r="939" spans="2:13">
      <c r="B939" s="399"/>
      <c r="C939" s="160"/>
      <c r="D939" s="160"/>
      <c r="E939" s="160"/>
      <c r="F939" s="160"/>
      <c r="G939" s="160"/>
      <c r="H939" s="160"/>
      <c r="I939" s="160"/>
      <c r="J939" s="160"/>
      <c r="K939" s="160"/>
      <c r="L939" s="160"/>
      <c r="M939" s="160"/>
    </row>
    <row r="940" spans="2:13">
      <c r="B940" s="399"/>
      <c r="C940" s="160"/>
      <c r="D940" s="160"/>
      <c r="E940" s="160"/>
      <c r="F940" s="160"/>
      <c r="G940" s="160"/>
      <c r="H940" s="160"/>
      <c r="I940" s="160"/>
      <c r="J940" s="160"/>
      <c r="K940" s="160"/>
      <c r="L940" s="160"/>
      <c r="M940" s="160"/>
    </row>
    <row r="941" spans="2:13">
      <c r="B941" s="399"/>
      <c r="C941" s="160"/>
      <c r="D941" s="160"/>
      <c r="E941" s="160"/>
      <c r="F941" s="160"/>
      <c r="G941" s="160"/>
      <c r="H941" s="160"/>
      <c r="I941" s="160"/>
      <c r="J941" s="160"/>
      <c r="K941" s="160"/>
      <c r="L941" s="160"/>
      <c r="M941" s="160"/>
    </row>
    <row r="942" spans="2:13">
      <c r="B942" s="399"/>
      <c r="C942" s="160"/>
      <c r="D942" s="160"/>
      <c r="E942" s="160"/>
      <c r="F942" s="160"/>
      <c r="G942" s="160"/>
      <c r="H942" s="160"/>
      <c r="I942" s="160"/>
      <c r="J942" s="160"/>
      <c r="K942" s="160"/>
      <c r="L942" s="160"/>
      <c r="M942" s="160"/>
    </row>
    <row r="943" spans="2:13">
      <c r="B943" s="399"/>
      <c r="C943" s="160"/>
      <c r="D943" s="160"/>
      <c r="E943" s="160"/>
      <c r="F943" s="160"/>
      <c r="G943" s="160"/>
      <c r="H943" s="160"/>
      <c r="I943" s="160"/>
      <c r="J943" s="160"/>
      <c r="K943" s="160"/>
      <c r="L943" s="160"/>
      <c r="M943" s="160"/>
    </row>
    <row r="944" spans="2:13">
      <c r="B944" s="399"/>
      <c r="C944" s="160"/>
      <c r="D944" s="160"/>
      <c r="E944" s="160"/>
      <c r="F944" s="160"/>
      <c r="G944" s="160"/>
      <c r="H944" s="160"/>
      <c r="I944" s="160"/>
      <c r="J944" s="160"/>
      <c r="K944" s="160"/>
      <c r="L944" s="160"/>
      <c r="M944" s="160"/>
    </row>
    <row r="945" spans="2:13">
      <c r="B945" s="399"/>
      <c r="C945" s="160"/>
      <c r="D945" s="160"/>
      <c r="E945" s="160"/>
      <c r="F945" s="160"/>
      <c r="G945" s="160"/>
      <c r="H945" s="160"/>
      <c r="I945" s="160"/>
      <c r="J945" s="160"/>
      <c r="K945" s="160"/>
      <c r="L945" s="160"/>
      <c r="M945" s="160"/>
    </row>
    <row r="946" spans="2:13">
      <c r="B946" s="399"/>
      <c r="C946" s="160"/>
      <c r="D946" s="160"/>
      <c r="E946" s="160"/>
      <c r="F946" s="160"/>
      <c r="G946" s="160"/>
      <c r="H946" s="160"/>
      <c r="I946" s="160"/>
      <c r="J946" s="160"/>
      <c r="K946" s="160"/>
      <c r="L946" s="160"/>
      <c r="M946" s="160"/>
    </row>
    <row r="947" spans="2:13">
      <c r="B947" s="399"/>
      <c r="C947" s="160"/>
      <c r="D947" s="160"/>
      <c r="E947" s="160"/>
      <c r="F947" s="160"/>
      <c r="G947" s="160"/>
      <c r="H947" s="160"/>
      <c r="I947" s="160"/>
      <c r="J947" s="160"/>
      <c r="K947" s="160"/>
      <c r="L947" s="160"/>
      <c r="M947" s="160"/>
    </row>
    <row r="948" spans="2:13">
      <c r="B948" s="399"/>
      <c r="C948" s="160"/>
      <c r="D948" s="160"/>
      <c r="E948" s="160"/>
      <c r="F948" s="160"/>
      <c r="G948" s="160"/>
      <c r="H948" s="160"/>
      <c r="I948" s="160"/>
      <c r="J948" s="160"/>
      <c r="K948" s="160"/>
      <c r="L948" s="160"/>
      <c r="M948" s="160"/>
    </row>
    <row r="949" spans="2:13">
      <c r="B949" s="399"/>
      <c r="C949" s="160"/>
      <c r="D949" s="160"/>
      <c r="E949" s="160"/>
      <c r="F949" s="160"/>
      <c r="G949" s="160"/>
      <c r="H949" s="160"/>
      <c r="I949" s="160"/>
      <c r="J949" s="160"/>
      <c r="K949" s="160"/>
      <c r="L949" s="160"/>
      <c r="M949" s="160"/>
    </row>
    <row r="950" spans="2:13">
      <c r="B950" s="399"/>
      <c r="C950" s="160"/>
      <c r="D950" s="160"/>
      <c r="E950" s="160"/>
      <c r="F950" s="160"/>
      <c r="G950" s="160"/>
      <c r="H950" s="160"/>
      <c r="I950" s="160"/>
      <c r="J950" s="160"/>
      <c r="K950" s="160"/>
      <c r="L950" s="160"/>
      <c r="M950" s="160"/>
    </row>
    <row r="951" spans="2:13">
      <c r="B951" s="399"/>
      <c r="C951" s="160"/>
      <c r="D951" s="160"/>
      <c r="E951" s="160"/>
      <c r="F951" s="160"/>
      <c r="G951" s="160"/>
      <c r="H951" s="160"/>
      <c r="I951" s="160"/>
      <c r="J951" s="160"/>
      <c r="K951" s="160"/>
      <c r="L951" s="160"/>
      <c r="M951" s="160"/>
    </row>
    <row r="952" spans="2:13">
      <c r="B952" s="399"/>
      <c r="C952" s="160"/>
      <c r="D952" s="160"/>
      <c r="E952" s="160"/>
      <c r="F952" s="160"/>
      <c r="G952" s="160"/>
      <c r="H952" s="160"/>
      <c r="I952" s="160"/>
      <c r="J952" s="160"/>
      <c r="K952" s="160"/>
      <c r="L952" s="160"/>
      <c r="M952" s="160"/>
    </row>
    <row r="953" spans="2:13">
      <c r="B953" s="399"/>
      <c r="C953" s="160"/>
      <c r="D953" s="160"/>
      <c r="E953" s="160"/>
      <c r="F953" s="160"/>
      <c r="G953" s="160"/>
      <c r="H953" s="160"/>
      <c r="I953" s="160"/>
      <c r="J953" s="160"/>
      <c r="K953" s="160"/>
      <c r="L953" s="160"/>
      <c r="M953" s="160"/>
    </row>
    <row r="954" spans="2:13">
      <c r="B954" s="399"/>
      <c r="C954" s="160"/>
      <c r="D954" s="160"/>
      <c r="E954" s="160"/>
      <c r="F954" s="160"/>
      <c r="G954" s="160"/>
      <c r="H954" s="160"/>
      <c r="I954" s="160"/>
      <c r="J954" s="160"/>
      <c r="K954" s="160"/>
      <c r="L954" s="160"/>
      <c r="M954" s="160"/>
    </row>
    <row r="955" spans="2:13">
      <c r="B955" s="399"/>
      <c r="C955" s="160"/>
      <c r="D955" s="160"/>
      <c r="E955" s="160"/>
      <c r="F955" s="160"/>
      <c r="G955" s="160"/>
      <c r="H955" s="160"/>
      <c r="I955" s="160"/>
      <c r="J955" s="160"/>
      <c r="K955" s="160"/>
      <c r="L955" s="160"/>
      <c r="M955" s="160"/>
    </row>
    <row r="956" spans="2:13">
      <c r="B956" s="399"/>
      <c r="C956" s="160"/>
      <c r="D956" s="160"/>
      <c r="E956" s="160"/>
      <c r="F956" s="160"/>
      <c r="G956" s="160"/>
      <c r="H956" s="160"/>
      <c r="I956" s="160"/>
      <c r="J956" s="160"/>
      <c r="K956" s="160"/>
      <c r="L956" s="160"/>
      <c r="M956" s="160"/>
    </row>
    <row r="957" spans="2:13">
      <c r="B957" s="399"/>
      <c r="C957" s="160"/>
      <c r="D957" s="160"/>
      <c r="E957" s="160"/>
      <c r="F957" s="160"/>
      <c r="G957" s="160"/>
      <c r="H957" s="160"/>
      <c r="I957" s="160"/>
      <c r="J957" s="160"/>
      <c r="K957" s="160"/>
      <c r="L957" s="160"/>
      <c r="M957" s="160"/>
    </row>
    <row r="958" spans="2:13">
      <c r="B958" s="399"/>
      <c r="C958" s="160"/>
      <c r="D958" s="160"/>
      <c r="E958" s="160"/>
      <c r="F958" s="160"/>
      <c r="G958" s="160"/>
      <c r="H958" s="160"/>
      <c r="I958" s="160"/>
      <c r="J958" s="160"/>
      <c r="K958" s="160"/>
      <c r="L958" s="160"/>
      <c r="M958" s="160"/>
    </row>
    <row r="959" spans="2:13">
      <c r="B959" s="399"/>
      <c r="C959" s="160"/>
      <c r="D959" s="160"/>
      <c r="E959" s="160"/>
      <c r="F959" s="160"/>
      <c r="G959" s="160"/>
      <c r="H959" s="160"/>
      <c r="I959" s="160"/>
      <c r="J959" s="160"/>
      <c r="K959" s="160"/>
      <c r="L959" s="160"/>
      <c r="M959" s="160"/>
    </row>
    <row r="960" spans="2:13">
      <c r="B960" s="399"/>
      <c r="C960" s="160"/>
      <c r="D960" s="160"/>
      <c r="E960" s="160"/>
      <c r="F960" s="160"/>
      <c r="G960" s="160"/>
      <c r="H960" s="160"/>
      <c r="I960" s="160"/>
      <c r="J960" s="160"/>
      <c r="K960" s="160"/>
      <c r="L960" s="160"/>
      <c r="M960" s="160"/>
    </row>
    <row r="961" spans="2:13">
      <c r="B961" s="399"/>
      <c r="C961" s="160"/>
      <c r="D961" s="160"/>
      <c r="E961" s="160"/>
      <c r="F961" s="160"/>
      <c r="G961" s="160"/>
      <c r="H961" s="160"/>
      <c r="I961" s="160"/>
      <c r="J961" s="160"/>
      <c r="K961" s="160"/>
      <c r="L961" s="160"/>
      <c r="M961" s="160"/>
    </row>
    <row r="962" spans="2:13">
      <c r="B962" s="399"/>
      <c r="C962" s="160"/>
      <c r="D962" s="160"/>
      <c r="E962" s="160"/>
      <c r="F962" s="160"/>
      <c r="G962" s="160"/>
      <c r="H962" s="160"/>
      <c r="I962" s="160"/>
      <c r="J962" s="160"/>
      <c r="K962" s="160"/>
      <c r="L962" s="160"/>
      <c r="M962" s="160"/>
    </row>
    <row r="963" spans="2:13">
      <c r="B963" s="399"/>
      <c r="C963" s="160"/>
      <c r="D963" s="160"/>
      <c r="E963" s="160"/>
      <c r="F963" s="160"/>
      <c r="G963" s="160"/>
      <c r="H963" s="160"/>
      <c r="I963" s="160"/>
      <c r="J963" s="160"/>
      <c r="K963" s="160"/>
      <c r="L963" s="160"/>
      <c r="M963" s="160"/>
    </row>
    <row r="964" spans="2:13">
      <c r="B964" s="399"/>
      <c r="C964" s="160"/>
      <c r="D964" s="160"/>
      <c r="E964" s="160"/>
      <c r="F964" s="160"/>
      <c r="G964" s="160"/>
      <c r="H964" s="160"/>
      <c r="I964" s="160"/>
      <c r="J964" s="160"/>
      <c r="K964" s="160"/>
      <c r="L964" s="160"/>
      <c r="M964" s="160"/>
    </row>
    <row r="965" spans="2:13">
      <c r="B965" s="399"/>
      <c r="C965" s="160"/>
      <c r="D965" s="160"/>
      <c r="E965" s="160"/>
      <c r="F965" s="160"/>
      <c r="G965" s="160"/>
      <c r="H965" s="160"/>
      <c r="I965" s="160"/>
      <c r="J965" s="160"/>
      <c r="K965" s="160"/>
      <c r="L965" s="160"/>
      <c r="M965" s="160"/>
    </row>
    <row r="966" spans="2:13">
      <c r="B966" s="399"/>
      <c r="C966" s="160"/>
      <c r="D966" s="160"/>
      <c r="E966" s="160"/>
      <c r="F966" s="160"/>
      <c r="G966" s="160"/>
      <c r="H966" s="160"/>
      <c r="I966" s="160"/>
      <c r="J966" s="160"/>
      <c r="K966" s="160"/>
      <c r="L966" s="160"/>
      <c r="M966" s="160"/>
    </row>
    <row r="967" spans="2:13">
      <c r="B967" s="399"/>
      <c r="C967" s="160"/>
      <c r="D967" s="160"/>
      <c r="E967" s="160"/>
      <c r="F967" s="160"/>
      <c r="G967" s="160"/>
      <c r="H967" s="160"/>
      <c r="I967" s="160"/>
      <c r="J967" s="160"/>
      <c r="K967" s="160"/>
      <c r="L967" s="160"/>
      <c r="M967" s="160"/>
    </row>
    <row r="968" spans="2:13">
      <c r="B968" s="399"/>
      <c r="C968" s="160"/>
      <c r="D968" s="160"/>
      <c r="E968" s="160"/>
      <c r="F968" s="160"/>
      <c r="G968" s="160"/>
      <c r="H968" s="160"/>
      <c r="I968" s="160"/>
      <c r="J968" s="160"/>
      <c r="K968" s="160"/>
      <c r="L968" s="160"/>
      <c r="M968" s="160"/>
    </row>
    <row r="969" spans="2:13">
      <c r="B969" s="399"/>
      <c r="C969" s="160"/>
      <c r="D969" s="160"/>
      <c r="E969" s="160"/>
      <c r="F969" s="160"/>
      <c r="G969" s="160"/>
      <c r="H969" s="160"/>
      <c r="I969" s="160"/>
      <c r="J969" s="160"/>
      <c r="K969" s="160"/>
      <c r="L969" s="160"/>
      <c r="M969" s="160"/>
    </row>
    <row r="970" spans="2:13">
      <c r="B970" s="399"/>
      <c r="C970" s="160"/>
      <c r="D970" s="160"/>
      <c r="E970" s="160"/>
      <c r="F970" s="160"/>
      <c r="G970" s="160"/>
      <c r="H970" s="160"/>
      <c r="I970" s="160"/>
      <c r="J970" s="160"/>
      <c r="K970" s="160"/>
      <c r="L970" s="160"/>
      <c r="M970" s="160"/>
    </row>
    <row r="971" spans="2:13">
      <c r="B971" s="399"/>
      <c r="C971" s="160"/>
      <c r="D971" s="160"/>
      <c r="E971" s="160"/>
      <c r="F971" s="160"/>
      <c r="G971" s="160"/>
      <c r="H971" s="160"/>
      <c r="I971" s="160"/>
      <c r="J971" s="160"/>
      <c r="K971" s="160"/>
      <c r="L971" s="160"/>
      <c r="M971" s="160"/>
    </row>
    <row r="972" spans="2:13">
      <c r="B972" s="399"/>
      <c r="C972" s="160"/>
      <c r="D972" s="160"/>
      <c r="E972" s="160"/>
      <c r="F972" s="160"/>
      <c r="G972" s="160"/>
      <c r="H972" s="160"/>
      <c r="I972" s="160"/>
      <c r="J972" s="160"/>
      <c r="K972" s="160"/>
      <c r="L972" s="160"/>
      <c r="M972" s="160"/>
    </row>
    <row r="973" spans="2:13">
      <c r="B973" s="399"/>
      <c r="C973" s="160"/>
      <c r="D973" s="160"/>
      <c r="E973" s="160"/>
      <c r="F973" s="160"/>
      <c r="G973" s="160"/>
      <c r="H973" s="160"/>
      <c r="I973" s="160"/>
      <c r="J973" s="160"/>
      <c r="K973" s="160"/>
      <c r="L973" s="160"/>
      <c r="M973" s="160"/>
    </row>
    <row r="974" spans="2:13">
      <c r="B974" s="399"/>
      <c r="C974" s="160"/>
      <c r="D974" s="160"/>
      <c r="E974" s="160"/>
      <c r="F974" s="160"/>
      <c r="G974" s="160"/>
      <c r="H974" s="160"/>
      <c r="I974" s="160"/>
      <c r="J974" s="160"/>
      <c r="K974" s="160"/>
      <c r="L974" s="160"/>
      <c r="M974" s="160"/>
    </row>
    <row r="975" spans="2:13">
      <c r="B975" s="399"/>
      <c r="C975" s="160"/>
      <c r="D975" s="160"/>
      <c r="E975" s="160"/>
      <c r="F975" s="160"/>
      <c r="G975" s="160"/>
      <c r="H975" s="160"/>
      <c r="I975" s="160"/>
      <c r="J975" s="160"/>
      <c r="K975" s="160"/>
      <c r="L975" s="160"/>
      <c r="M975" s="160"/>
    </row>
    <row r="976" spans="2:13">
      <c r="B976" s="399"/>
      <c r="C976" s="160"/>
      <c r="D976" s="160"/>
      <c r="E976" s="160"/>
      <c r="F976" s="160"/>
      <c r="G976" s="160"/>
      <c r="H976" s="160"/>
      <c r="I976" s="160"/>
      <c r="J976" s="160"/>
      <c r="K976" s="160"/>
      <c r="L976" s="160"/>
      <c r="M976" s="160"/>
    </row>
    <row r="977" spans="2:13">
      <c r="B977" s="399"/>
      <c r="C977" s="160"/>
      <c r="D977" s="160"/>
      <c r="E977" s="160"/>
      <c r="F977" s="160"/>
      <c r="G977" s="160"/>
      <c r="H977" s="160"/>
      <c r="I977" s="160"/>
      <c r="J977" s="160"/>
      <c r="K977" s="160"/>
      <c r="L977" s="160"/>
      <c r="M977" s="160"/>
    </row>
    <row r="978" spans="2:13">
      <c r="B978" s="399"/>
      <c r="C978" s="160"/>
      <c r="D978" s="160"/>
      <c r="E978" s="160"/>
      <c r="F978" s="160"/>
      <c r="G978" s="160"/>
      <c r="H978" s="160"/>
      <c r="I978" s="160"/>
      <c r="J978" s="160"/>
      <c r="K978" s="160"/>
      <c r="L978" s="160"/>
      <c r="M978" s="160"/>
    </row>
    <row r="979" spans="2:13">
      <c r="B979" s="399"/>
      <c r="C979" s="160"/>
      <c r="D979" s="160"/>
      <c r="E979" s="160"/>
      <c r="F979" s="160"/>
      <c r="G979" s="160"/>
      <c r="H979" s="160"/>
      <c r="I979" s="160"/>
      <c r="J979" s="160"/>
      <c r="K979" s="160"/>
      <c r="L979" s="160"/>
      <c r="M979" s="160"/>
    </row>
    <row r="980" spans="2:13">
      <c r="B980" s="399"/>
      <c r="C980" s="160"/>
      <c r="D980" s="160"/>
      <c r="E980" s="160"/>
      <c r="F980" s="160"/>
      <c r="G980" s="160"/>
      <c r="H980" s="160"/>
      <c r="I980" s="160"/>
      <c r="J980" s="160"/>
      <c r="K980" s="160"/>
      <c r="L980" s="160"/>
      <c r="M980" s="160"/>
    </row>
    <row r="981" spans="2:13">
      <c r="B981" s="399"/>
      <c r="C981" s="160"/>
      <c r="D981" s="160"/>
      <c r="E981" s="160"/>
      <c r="F981" s="160"/>
      <c r="G981" s="160"/>
      <c r="H981" s="160"/>
      <c r="I981" s="160"/>
      <c r="J981" s="160"/>
      <c r="K981" s="160"/>
      <c r="L981" s="160"/>
      <c r="M981" s="160"/>
    </row>
    <row r="982" spans="2:13">
      <c r="B982" s="399"/>
      <c r="C982" s="160"/>
      <c r="D982" s="160"/>
      <c r="E982" s="160"/>
      <c r="F982" s="160"/>
      <c r="G982" s="160"/>
      <c r="H982" s="160"/>
      <c r="I982" s="160"/>
      <c r="J982" s="160"/>
      <c r="K982" s="160"/>
      <c r="L982" s="160"/>
      <c r="M982" s="160"/>
    </row>
    <row r="983" spans="2:13">
      <c r="B983" s="399"/>
      <c r="C983" s="160"/>
      <c r="D983" s="160"/>
      <c r="E983" s="160"/>
      <c r="F983" s="160"/>
      <c r="G983" s="160"/>
      <c r="H983" s="160"/>
      <c r="I983" s="160"/>
      <c r="J983" s="160"/>
      <c r="K983" s="160"/>
      <c r="L983" s="160"/>
      <c r="M983" s="160"/>
    </row>
    <row r="984" spans="2:13">
      <c r="B984" s="399"/>
      <c r="C984" s="160"/>
      <c r="D984" s="160"/>
      <c r="E984" s="160"/>
      <c r="F984" s="160"/>
      <c r="G984" s="160"/>
      <c r="H984" s="160"/>
      <c r="I984" s="160"/>
      <c r="J984" s="160"/>
      <c r="K984" s="160"/>
      <c r="L984" s="160"/>
      <c r="M984" s="160"/>
    </row>
    <row r="985" spans="2:13">
      <c r="B985" s="399"/>
      <c r="C985" s="160"/>
      <c r="D985" s="160"/>
      <c r="E985" s="160"/>
      <c r="F985" s="160"/>
      <c r="G985" s="160"/>
      <c r="H985" s="160"/>
      <c r="I985" s="160"/>
      <c r="J985" s="160"/>
      <c r="K985" s="160"/>
      <c r="L985" s="160"/>
      <c r="M985" s="160"/>
    </row>
    <row r="986" spans="2:13">
      <c r="B986" s="399"/>
      <c r="C986" s="160"/>
      <c r="D986" s="160"/>
      <c r="E986" s="160"/>
      <c r="F986" s="160"/>
      <c r="G986" s="160"/>
      <c r="H986" s="160"/>
      <c r="I986" s="160"/>
      <c r="J986" s="160"/>
      <c r="K986" s="160"/>
      <c r="L986" s="160"/>
      <c r="M986" s="160"/>
    </row>
    <row r="987" spans="2:13">
      <c r="B987" s="399"/>
      <c r="C987" s="160"/>
      <c r="D987" s="160"/>
      <c r="E987" s="160"/>
      <c r="F987" s="160"/>
      <c r="G987" s="160"/>
      <c r="H987" s="160"/>
      <c r="I987" s="160"/>
      <c r="J987" s="160"/>
      <c r="K987" s="160"/>
      <c r="L987" s="160"/>
      <c r="M987" s="160"/>
    </row>
    <row r="988" spans="2:13">
      <c r="B988" s="399"/>
      <c r="C988" s="160"/>
      <c r="D988" s="160"/>
      <c r="E988" s="160"/>
      <c r="F988" s="160"/>
      <c r="G988" s="160"/>
      <c r="H988" s="160"/>
      <c r="I988" s="160"/>
      <c r="J988" s="160"/>
      <c r="K988" s="160"/>
      <c r="L988" s="160"/>
      <c r="M988" s="160"/>
    </row>
    <row r="989" spans="2:13">
      <c r="B989" s="399"/>
      <c r="C989" s="160"/>
      <c r="D989" s="160"/>
      <c r="E989" s="160"/>
      <c r="F989" s="160"/>
      <c r="G989" s="160"/>
      <c r="H989" s="160"/>
      <c r="I989" s="160"/>
      <c r="J989" s="160"/>
      <c r="K989" s="160"/>
      <c r="L989" s="160"/>
      <c r="M989" s="160"/>
    </row>
    <row r="990" spans="2:13">
      <c r="B990" s="399"/>
      <c r="C990" s="160"/>
      <c r="D990" s="160"/>
      <c r="E990" s="160"/>
      <c r="F990" s="160"/>
      <c r="G990" s="160"/>
      <c r="H990" s="160"/>
      <c r="I990" s="160"/>
      <c r="J990" s="160"/>
      <c r="K990" s="160"/>
      <c r="L990" s="160"/>
      <c r="M990" s="160"/>
    </row>
    <row r="991" spans="2:13">
      <c r="B991" s="399"/>
      <c r="C991" s="160"/>
      <c r="D991" s="160"/>
      <c r="E991" s="160"/>
      <c r="F991" s="160"/>
      <c r="G991" s="160"/>
      <c r="H991" s="160"/>
      <c r="I991" s="160"/>
      <c r="J991" s="160"/>
      <c r="K991" s="160"/>
      <c r="L991" s="160"/>
      <c r="M991" s="160"/>
    </row>
    <row r="992" spans="2:13">
      <c r="B992" s="399"/>
      <c r="C992" s="160"/>
      <c r="D992" s="160"/>
      <c r="E992" s="160"/>
      <c r="F992" s="160"/>
      <c r="G992" s="160"/>
      <c r="H992" s="160"/>
      <c r="I992" s="160"/>
      <c r="J992" s="160"/>
      <c r="K992" s="160"/>
      <c r="L992" s="160"/>
      <c r="M992" s="160"/>
    </row>
    <row r="993" spans="2:13">
      <c r="B993" s="399"/>
      <c r="C993" s="160"/>
      <c r="D993" s="160"/>
      <c r="E993" s="160"/>
      <c r="F993" s="160"/>
      <c r="G993" s="160"/>
      <c r="H993" s="160"/>
      <c r="I993" s="160"/>
      <c r="J993" s="160"/>
      <c r="K993" s="160"/>
      <c r="L993" s="160"/>
      <c r="M993" s="160"/>
    </row>
    <row r="994" spans="2:13">
      <c r="B994" s="399"/>
      <c r="C994" s="160"/>
      <c r="D994" s="160"/>
      <c r="E994" s="160"/>
      <c r="F994" s="160"/>
      <c r="G994" s="160"/>
      <c r="H994" s="160"/>
      <c r="I994" s="160"/>
      <c r="J994" s="160"/>
      <c r="K994" s="160"/>
      <c r="L994" s="160"/>
      <c r="M994" s="160"/>
    </row>
    <row r="995" spans="2:13">
      <c r="B995" s="399"/>
      <c r="C995" s="160"/>
      <c r="D995" s="160"/>
      <c r="E995" s="160"/>
      <c r="F995" s="160"/>
      <c r="G995" s="160"/>
      <c r="H995" s="160"/>
      <c r="I995" s="160"/>
      <c r="J995" s="160"/>
      <c r="K995" s="160"/>
      <c r="L995" s="160"/>
      <c r="M995" s="160"/>
    </row>
    <row r="996" spans="2:13">
      <c r="B996" s="399"/>
      <c r="C996" s="160"/>
      <c r="D996" s="160"/>
      <c r="E996" s="160"/>
      <c r="F996" s="160"/>
      <c r="G996" s="160"/>
      <c r="H996" s="160"/>
      <c r="I996" s="160"/>
      <c r="J996" s="160"/>
      <c r="K996" s="160"/>
      <c r="L996" s="160"/>
      <c r="M996" s="160"/>
    </row>
    <row r="997" spans="2:13">
      <c r="B997" s="399"/>
      <c r="C997" s="160"/>
      <c r="D997" s="160"/>
      <c r="E997" s="160"/>
      <c r="F997" s="160"/>
      <c r="G997" s="160"/>
      <c r="H997" s="160"/>
      <c r="I997" s="160"/>
      <c r="J997" s="160"/>
      <c r="K997" s="160"/>
      <c r="L997" s="160"/>
      <c r="M997" s="160"/>
    </row>
    <row r="998" spans="2:13">
      <c r="B998" s="399"/>
      <c r="C998" s="160"/>
      <c r="D998" s="160"/>
      <c r="E998" s="160"/>
      <c r="F998" s="160"/>
      <c r="G998" s="160"/>
      <c r="H998" s="160"/>
      <c r="I998" s="160"/>
      <c r="J998" s="160"/>
      <c r="K998" s="160"/>
      <c r="L998" s="160"/>
      <c r="M998" s="160"/>
    </row>
    <row r="999" spans="2:13">
      <c r="B999" s="399"/>
      <c r="C999" s="160"/>
      <c r="D999" s="160"/>
      <c r="E999" s="160"/>
      <c r="F999" s="160"/>
      <c r="G999" s="160"/>
      <c r="H999" s="160"/>
      <c r="I999" s="160"/>
      <c r="J999" s="160"/>
      <c r="K999" s="160"/>
      <c r="L999" s="160"/>
      <c r="M999" s="160"/>
    </row>
    <row r="1000" spans="2:13">
      <c r="B1000" s="399"/>
      <c r="C1000" s="160"/>
      <c r="D1000" s="160"/>
      <c r="E1000" s="160"/>
      <c r="F1000" s="160"/>
      <c r="G1000" s="160"/>
      <c r="H1000" s="160"/>
      <c r="I1000" s="160"/>
      <c r="J1000" s="160"/>
      <c r="K1000" s="160"/>
      <c r="L1000" s="160"/>
      <c r="M1000" s="160"/>
    </row>
    <row r="1001" spans="2:13">
      <c r="B1001" s="399"/>
      <c r="C1001" s="160"/>
      <c r="D1001" s="160"/>
      <c r="E1001" s="160"/>
      <c r="F1001" s="160"/>
      <c r="G1001" s="160"/>
      <c r="H1001" s="160"/>
      <c r="I1001" s="160"/>
      <c r="J1001" s="160"/>
      <c r="K1001" s="160"/>
      <c r="L1001" s="160"/>
      <c r="M1001" s="160"/>
    </row>
    <row r="1002" spans="2:13">
      <c r="B1002" s="399"/>
      <c r="C1002" s="160"/>
      <c r="D1002" s="160"/>
      <c r="E1002" s="160"/>
      <c r="F1002" s="160"/>
      <c r="G1002" s="160"/>
      <c r="H1002" s="160"/>
      <c r="I1002" s="160"/>
      <c r="J1002" s="160"/>
      <c r="K1002" s="160"/>
      <c r="L1002" s="160"/>
      <c r="M1002" s="160"/>
    </row>
    <row r="1003" spans="2:13">
      <c r="B1003" s="399"/>
      <c r="C1003" s="160"/>
      <c r="D1003" s="160"/>
      <c r="E1003" s="160"/>
      <c r="F1003" s="160"/>
      <c r="G1003" s="160"/>
      <c r="H1003" s="160"/>
      <c r="I1003" s="160"/>
      <c r="J1003" s="160"/>
      <c r="K1003" s="160"/>
      <c r="L1003" s="160"/>
      <c r="M1003" s="160"/>
    </row>
    <row r="1004" spans="2:13">
      <c r="B1004" s="399"/>
      <c r="C1004" s="160"/>
      <c r="D1004" s="160"/>
      <c r="E1004" s="160"/>
      <c r="F1004" s="160"/>
      <c r="G1004" s="160"/>
      <c r="H1004" s="160"/>
      <c r="I1004" s="160"/>
      <c r="J1004" s="160"/>
      <c r="K1004" s="160"/>
      <c r="L1004" s="160"/>
      <c r="M1004" s="160"/>
    </row>
    <row r="1005" spans="2:13">
      <c r="B1005" s="399"/>
      <c r="C1005" s="160"/>
      <c r="D1005" s="160"/>
      <c r="E1005" s="160"/>
      <c r="F1005" s="160"/>
      <c r="G1005" s="160"/>
      <c r="H1005" s="160"/>
      <c r="I1005" s="160"/>
      <c r="J1005" s="160"/>
      <c r="K1005" s="160"/>
      <c r="L1005" s="160"/>
      <c r="M1005" s="160"/>
    </row>
    <row r="1006" spans="2:13">
      <c r="B1006" s="399"/>
      <c r="C1006" s="160"/>
      <c r="D1006" s="160"/>
      <c r="E1006" s="160"/>
      <c r="F1006" s="160"/>
      <c r="G1006" s="160"/>
      <c r="H1006" s="160"/>
      <c r="I1006" s="160"/>
      <c r="J1006" s="160"/>
      <c r="K1006" s="160"/>
      <c r="L1006" s="160"/>
      <c r="M1006" s="160"/>
    </row>
    <row r="1007" spans="2:13">
      <c r="B1007" s="399"/>
      <c r="C1007" s="160"/>
      <c r="D1007" s="160"/>
      <c r="E1007" s="160"/>
      <c r="F1007" s="160"/>
      <c r="G1007" s="160"/>
      <c r="H1007" s="160"/>
      <c r="I1007" s="160"/>
      <c r="J1007" s="160"/>
      <c r="K1007" s="160"/>
      <c r="L1007" s="160"/>
      <c r="M1007" s="160"/>
    </row>
    <row r="1008" spans="2:13">
      <c r="B1008" s="399"/>
      <c r="C1008" s="160"/>
      <c r="D1008" s="160"/>
      <c r="E1008" s="160"/>
      <c r="F1008" s="160"/>
      <c r="G1008" s="160"/>
      <c r="H1008" s="160"/>
      <c r="I1008" s="160"/>
      <c r="J1008" s="160"/>
      <c r="K1008" s="160"/>
      <c r="L1008" s="160"/>
      <c r="M1008" s="160"/>
    </row>
    <row r="1009" spans="2:13">
      <c r="B1009" s="399"/>
      <c r="C1009" s="160"/>
      <c r="D1009" s="160"/>
      <c r="E1009" s="160"/>
      <c r="F1009" s="160"/>
      <c r="G1009" s="160"/>
      <c r="H1009" s="160"/>
      <c r="I1009" s="160"/>
      <c r="J1009" s="160"/>
      <c r="K1009" s="160"/>
      <c r="L1009" s="160"/>
      <c r="M1009" s="160"/>
    </row>
    <row r="1010" spans="2:13">
      <c r="B1010" s="399"/>
      <c r="C1010" s="160"/>
      <c r="D1010" s="160"/>
      <c r="E1010" s="160"/>
      <c r="F1010" s="160"/>
      <c r="G1010" s="160"/>
      <c r="H1010" s="160"/>
      <c r="I1010" s="160"/>
      <c r="J1010" s="160"/>
      <c r="K1010" s="160"/>
      <c r="L1010" s="160"/>
      <c r="M1010" s="160"/>
    </row>
    <row r="1011" spans="2:13">
      <c r="B1011" s="399"/>
      <c r="C1011" s="160"/>
      <c r="D1011" s="160"/>
      <c r="E1011" s="160"/>
      <c r="F1011" s="160"/>
      <c r="G1011" s="160"/>
      <c r="H1011" s="160"/>
      <c r="I1011" s="160"/>
      <c r="J1011" s="160"/>
      <c r="K1011" s="160"/>
      <c r="L1011" s="160"/>
      <c r="M1011" s="160"/>
    </row>
    <row r="1012" spans="2:13">
      <c r="B1012" s="399"/>
      <c r="C1012" s="160"/>
      <c r="D1012" s="160"/>
      <c r="E1012" s="160"/>
      <c r="F1012" s="160"/>
      <c r="G1012" s="160"/>
      <c r="H1012" s="160"/>
      <c r="I1012" s="160"/>
      <c r="J1012" s="160"/>
      <c r="K1012" s="160"/>
      <c r="L1012" s="160"/>
      <c r="M1012" s="160"/>
    </row>
    <row r="1013" spans="2:13">
      <c r="B1013" s="399"/>
      <c r="C1013" s="160"/>
      <c r="D1013" s="160"/>
      <c r="E1013" s="160"/>
      <c r="F1013" s="160"/>
      <c r="G1013" s="160"/>
      <c r="H1013" s="160"/>
      <c r="I1013" s="160"/>
      <c r="J1013" s="160"/>
      <c r="K1013" s="160"/>
      <c r="L1013" s="160"/>
      <c r="M1013" s="160"/>
    </row>
    <row r="1014" spans="2:13">
      <c r="B1014" s="399"/>
      <c r="C1014" s="160"/>
      <c r="D1014" s="160"/>
      <c r="E1014" s="160"/>
      <c r="F1014" s="160"/>
      <c r="G1014" s="160"/>
      <c r="H1014" s="160"/>
      <c r="I1014" s="160"/>
      <c r="J1014" s="160"/>
      <c r="K1014" s="160"/>
      <c r="L1014" s="160"/>
      <c r="M1014" s="160"/>
    </row>
    <row r="1015" spans="2:13">
      <c r="B1015" s="399"/>
      <c r="C1015" s="160"/>
      <c r="D1015" s="160"/>
      <c r="E1015" s="160"/>
      <c r="F1015" s="160"/>
      <c r="G1015" s="160"/>
      <c r="H1015" s="160"/>
      <c r="I1015" s="160"/>
      <c r="J1015" s="160"/>
      <c r="K1015" s="160"/>
      <c r="L1015" s="160"/>
      <c r="M1015" s="160"/>
    </row>
    <row r="1016" spans="2:13">
      <c r="B1016" s="399"/>
      <c r="C1016" s="160"/>
      <c r="D1016" s="160"/>
      <c r="E1016" s="160"/>
      <c r="F1016" s="160"/>
      <c r="G1016" s="160"/>
      <c r="H1016" s="160"/>
      <c r="I1016" s="160"/>
      <c r="J1016" s="160"/>
      <c r="K1016" s="160"/>
      <c r="L1016" s="160"/>
      <c r="M1016" s="160"/>
    </row>
    <row r="1017" spans="2:13">
      <c r="B1017" s="399"/>
      <c r="C1017" s="160"/>
      <c r="D1017" s="160"/>
      <c r="E1017" s="160"/>
      <c r="F1017" s="160"/>
      <c r="G1017" s="160"/>
      <c r="H1017" s="160"/>
      <c r="I1017" s="160"/>
      <c r="J1017" s="160"/>
      <c r="K1017" s="160"/>
      <c r="L1017" s="160"/>
      <c r="M1017" s="160"/>
    </row>
    <row r="1018" spans="2:13">
      <c r="B1018" s="399"/>
      <c r="C1018" s="160"/>
      <c r="D1018" s="160"/>
      <c r="E1018" s="160"/>
      <c r="F1018" s="160"/>
      <c r="G1018" s="160"/>
      <c r="H1018" s="160"/>
      <c r="I1018" s="160"/>
      <c r="J1018" s="160"/>
      <c r="K1018" s="160"/>
      <c r="L1018" s="160"/>
      <c r="M1018" s="160"/>
    </row>
    <row r="1019" spans="2:13">
      <c r="B1019" s="399"/>
      <c r="C1019" s="160"/>
      <c r="D1019" s="160"/>
      <c r="E1019" s="160"/>
      <c r="F1019" s="160"/>
      <c r="G1019" s="160"/>
      <c r="H1019" s="160"/>
      <c r="I1019" s="160"/>
      <c r="J1019" s="160"/>
      <c r="K1019" s="160"/>
      <c r="L1019" s="160"/>
      <c r="M1019" s="160"/>
    </row>
    <row r="1020" spans="2:13">
      <c r="B1020" s="399"/>
      <c r="C1020" s="160"/>
      <c r="D1020" s="160"/>
      <c r="E1020" s="160"/>
      <c r="F1020" s="160"/>
      <c r="G1020" s="160"/>
      <c r="H1020" s="160"/>
      <c r="I1020" s="160"/>
      <c r="J1020" s="160"/>
      <c r="K1020" s="160"/>
      <c r="L1020" s="160"/>
      <c r="M1020" s="160"/>
    </row>
    <row r="1021" spans="2:13">
      <c r="B1021" s="399"/>
      <c r="C1021" s="160"/>
      <c r="D1021" s="160"/>
      <c r="E1021" s="160"/>
      <c r="F1021" s="160"/>
      <c r="G1021" s="160"/>
      <c r="H1021" s="160"/>
      <c r="I1021" s="160"/>
      <c r="J1021" s="160"/>
      <c r="K1021" s="160"/>
      <c r="L1021" s="160"/>
      <c r="M1021" s="160"/>
    </row>
    <row r="1022" spans="2:13">
      <c r="B1022" s="399"/>
      <c r="C1022" s="160"/>
      <c r="D1022" s="160"/>
      <c r="E1022" s="160"/>
      <c r="F1022" s="160"/>
      <c r="G1022" s="160"/>
      <c r="H1022" s="160"/>
      <c r="I1022" s="160"/>
      <c r="J1022" s="160"/>
      <c r="K1022" s="160"/>
      <c r="L1022" s="160"/>
      <c r="M1022" s="160"/>
    </row>
    <row r="1023" spans="2:13">
      <c r="B1023" s="399"/>
      <c r="C1023" s="160"/>
      <c r="D1023" s="160"/>
      <c r="E1023" s="160"/>
      <c r="F1023" s="160"/>
      <c r="G1023" s="160"/>
      <c r="H1023" s="160"/>
      <c r="I1023" s="160"/>
      <c r="J1023" s="160"/>
      <c r="K1023" s="160"/>
      <c r="L1023" s="160"/>
      <c r="M1023" s="160"/>
    </row>
    <row r="1024" spans="2:13">
      <c r="B1024" s="399"/>
      <c r="C1024" s="160"/>
      <c r="D1024" s="160"/>
      <c r="E1024" s="160"/>
      <c r="F1024" s="160"/>
      <c r="G1024" s="160"/>
      <c r="H1024" s="160"/>
      <c r="I1024" s="160"/>
      <c r="J1024" s="160"/>
      <c r="K1024" s="160"/>
      <c r="L1024" s="160"/>
      <c r="M1024" s="160"/>
    </row>
    <row r="1025" spans="2:13">
      <c r="B1025" s="399"/>
      <c r="C1025" s="160"/>
      <c r="D1025" s="160"/>
      <c r="E1025" s="160"/>
      <c r="F1025" s="160"/>
      <c r="G1025" s="160"/>
      <c r="H1025" s="160"/>
      <c r="I1025" s="160"/>
      <c r="J1025" s="160"/>
      <c r="K1025" s="160"/>
      <c r="L1025" s="160"/>
      <c r="M1025" s="160"/>
    </row>
    <row r="1026" spans="2:13">
      <c r="B1026" s="399"/>
      <c r="C1026" s="160"/>
      <c r="D1026" s="160"/>
      <c r="E1026" s="160"/>
      <c r="F1026" s="160"/>
      <c r="G1026" s="160"/>
      <c r="H1026" s="160"/>
      <c r="I1026" s="160"/>
      <c r="J1026" s="160"/>
      <c r="K1026" s="160"/>
      <c r="L1026" s="160"/>
      <c r="M1026" s="160"/>
    </row>
    <row r="1027" spans="2:13">
      <c r="B1027" s="399"/>
      <c r="C1027" s="160"/>
      <c r="D1027" s="160"/>
      <c r="E1027" s="160"/>
      <c r="F1027" s="160"/>
      <c r="G1027" s="160"/>
      <c r="H1027" s="160"/>
      <c r="I1027" s="160"/>
      <c r="J1027" s="160"/>
      <c r="K1027" s="160"/>
      <c r="L1027" s="160"/>
      <c r="M1027" s="160"/>
    </row>
    <row r="1028" spans="2:13">
      <c r="B1028" s="399"/>
      <c r="C1028" s="160"/>
      <c r="D1028" s="160"/>
      <c r="E1028" s="160"/>
      <c r="F1028" s="160"/>
      <c r="G1028" s="160"/>
      <c r="H1028" s="160"/>
      <c r="I1028" s="160"/>
      <c r="J1028" s="160"/>
      <c r="K1028" s="160"/>
      <c r="L1028" s="160"/>
      <c r="M1028" s="160"/>
    </row>
    <row r="1029" spans="2:13">
      <c r="B1029" s="399"/>
      <c r="C1029" s="160"/>
      <c r="D1029" s="160"/>
      <c r="E1029" s="160"/>
      <c r="F1029" s="160"/>
      <c r="G1029" s="160"/>
      <c r="H1029" s="160"/>
      <c r="I1029" s="160"/>
      <c r="J1029" s="160"/>
      <c r="K1029" s="160"/>
      <c r="L1029" s="160"/>
      <c r="M1029" s="160"/>
    </row>
    <row r="1030" spans="2:13">
      <c r="B1030" s="399"/>
      <c r="C1030" s="160"/>
      <c r="D1030" s="160"/>
      <c r="E1030" s="160"/>
      <c r="F1030" s="160"/>
      <c r="G1030" s="160"/>
      <c r="H1030" s="160"/>
      <c r="I1030" s="160"/>
      <c r="J1030" s="160"/>
      <c r="K1030" s="160"/>
      <c r="L1030" s="160"/>
      <c r="M1030" s="160"/>
    </row>
    <row r="1031" spans="2:13">
      <c r="B1031" s="399"/>
      <c r="C1031" s="160"/>
      <c r="D1031" s="160"/>
      <c r="E1031" s="160"/>
      <c r="F1031" s="160"/>
      <c r="G1031" s="160"/>
      <c r="H1031" s="160"/>
      <c r="I1031" s="160"/>
      <c r="J1031" s="160"/>
      <c r="K1031" s="160"/>
      <c r="L1031" s="160"/>
      <c r="M1031" s="160"/>
    </row>
    <row r="1032" spans="2:13">
      <c r="B1032" s="399"/>
      <c r="C1032" s="160"/>
      <c r="D1032" s="160"/>
      <c r="E1032" s="160"/>
      <c r="F1032" s="160"/>
      <c r="G1032" s="160"/>
      <c r="H1032" s="160"/>
      <c r="I1032" s="160"/>
      <c r="J1032" s="160"/>
      <c r="K1032" s="160"/>
      <c r="L1032" s="160"/>
      <c r="M1032" s="160"/>
    </row>
    <row r="1033" spans="2:13">
      <c r="B1033" s="399"/>
      <c r="C1033" s="160"/>
      <c r="D1033" s="160"/>
      <c r="E1033" s="160"/>
      <c r="F1033" s="160"/>
      <c r="G1033" s="160"/>
      <c r="H1033" s="160"/>
      <c r="I1033" s="160"/>
      <c r="J1033" s="160"/>
      <c r="K1033" s="160"/>
      <c r="L1033" s="160"/>
      <c r="M1033" s="160"/>
    </row>
    <row r="1034" spans="2:13">
      <c r="B1034" s="399"/>
      <c r="C1034" s="160"/>
      <c r="D1034" s="160"/>
      <c r="E1034" s="160"/>
      <c r="F1034" s="160"/>
      <c r="G1034" s="160"/>
      <c r="H1034" s="160"/>
      <c r="I1034" s="160"/>
      <c r="J1034" s="160"/>
      <c r="K1034" s="160"/>
      <c r="L1034" s="160"/>
      <c r="M1034" s="160"/>
    </row>
    <row r="1035" spans="2:13">
      <c r="B1035" s="399"/>
      <c r="C1035" s="160"/>
      <c r="D1035" s="160"/>
      <c r="E1035" s="160"/>
      <c r="F1035" s="160"/>
      <c r="G1035" s="160"/>
      <c r="H1035" s="160"/>
      <c r="I1035" s="160"/>
      <c r="J1035" s="160"/>
      <c r="K1035" s="160"/>
      <c r="L1035" s="160"/>
      <c r="M1035" s="160"/>
    </row>
    <row r="1036" spans="2:13">
      <c r="B1036" s="399"/>
      <c r="C1036" s="160"/>
      <c r="D1036" s="160"/>
      <c r="E1036" s="160"/>
      <c r="F1036" s="160"/>
      <c r="G1036" s="160"/>
      <c r="H1036" s="160"/>
      <c r="I1036" s="160"/>
      <c r="J1036" s="160"/>
      <c r="K1036" s="160"/>
      <c r="L1036" s="160"/>
      <c r="M1036" s="160"/>
    </row>
    <row r="1037" spans="2:13">
      <c r="B1037" s="399"/>
      <c r="C1037" s="160"/>
      <c r="D1037" s="160"/>
      <c r="E1037" s="160"/>
      <c r="F1037" s="160"/>
      <c r="G1037" s="160"/>
      <c r="H1037" s="160"/>
      <c r="I1037" s="160"/>
      <c r="J1037" s="160"/>
      <c r="K1037" s="160"/>
      <c r="L1037" s="160"/>
      <c r="M1037" s="160"/>
    </row>
    <row r="1038" spans="2:13">
      <c r="B1038" s="399"/>
      <c r="C1038" s="160"/>
      <c r="D1038" s="160"/>
      <c r="E1038" s="160"/>
      <c r="F1038" s="160"/>
      <c r="G1038" s="160"/>
      <c r="H1038" s="160"/>
      <c r="I1038" s="160"/>
      <c r="J1038" s="160"/>
      <c r="K1038" s="160"/>
      <c r="L1038" s="160"/>
      <c r="M1038" s="160"/>
    </row>
    <row r="1039" spans="2:13">
      <c r="B1039" s="399"/>
      <c r="C1039" s="160"/>
      <c r="D1039" s="160"/>
      <c r="E1039" s="160"/>
      <c r="F1039" s="160"/>
      <c r="G1039" s="160"/>
      <c r="H1039" s="160"/>
      <c r="I1039" s="160"/>
      <c r="J1039" s="160"/>
      <c r="K1039" s="160"/>
      <c r="L1039" s="160"/>
      <c r="M1039" s="160"/>
    </row>
    <row r="1040" spans="2:13">
      <c r="B1040" s="399"/>
      <c r="C1040" s="160"/>
      <c r="D1040" s="160"/>
      <c r="E1040" s="160"/>
      <c r="F1040" s="160"/>
      <c r="G1040" s="160"/>
      <c r="H1040" s="160"/>
      <c r="I1040" s="160"/>
      <c r="J1040" s="160"/>
      <c r="K1040" s="160"/>
      <c r="L1040" s="160"/>
      <c r="M1040" s="160"/>
    </row>
    <row r="1041" spans="2:13">
      <c r="B1041" s="399"/>
      <c r="C1041" s="160"/>
      <c r="D1041" s="160"/>
      <c r="E1041" s="160"/>
      <c r="F1041" s="160"/>
      <c r="G1041" s="160"/>
      <c r="H1041" s="160"/>
      <c r="I1041" s="160"/>
      <c r="J1041" s="160"/>
      <c r="K1041" s="160"/>
      <c r="L1041" s="160"/>
      <c r="M1041" s="160"/>
    </row>
    <row r="1042" spans="2:13">
      <c r="B1042" s="399"/>
      <c r="C1042" s="160"/>
      <c r="D1042" s="160"/>
      <c r="E1042" s="160"/>
      <c r="F1042" s="160"/>
      <c r="G1042" s="160"/>
      <c r="H1042" s="160"/>
      <c r="I1042" s="160"/>
      <c r="J1042" s="160"/>
      <c r="K1042" s="160"/>
      <c r="L1042" s="160"/>
      <c r="M1042" s="160"/>
    </row>
    <row r="1043" spans="2:13">
      <c r="B1043" s="399"/>
      <c r="C1043" s="160"/>
      <c r="D1043" s="160"/>
      <c r="E1043" s="160"/>
      <c r="F1043" s="160"/>
      <c r="G1043" s="160"/>
      <c r="H1043" s="160"/>
      <c r="I1043" s="160"/>
      <c r="J1043" s="160"/>
      <c r="K1043" s="160"/>
      <c r="L1043" s="160"/>
      <c r="M1043" s="160"/>
    </row>
    <row r="1044" spans="2:13">
      <c r="B1044" s="399"/>
      <c r="C1044" s="160"/>
      <c r="D1044" s="160"/>
      <c r="E1044" s="160"/>
      <c r="F1044" s="160"/>
      <c r="G1044" s="160"/>
      <c r="H1044" s="160"/>
      <c r="I1044" s="160"/>
      <c r="J1044" s="160"/>
      <c r="K1044" s="160"/>
      <c r="L1044" s="160"/>
      <c r="M1044" s="160"/>
    </row>
    <row r="1045" spans="2:13">
      <c r="B1045" s="399"/>
      <c r="C1045" s="160"/>
      <c r="D1045" s="160"/>
      <c r="E1045" s="160"/>
      <c r="F1045" s="160"/>
      <c r="G1045" s="160"/>
      <c r="H1045" s="160"/>
      <c r="I1045" s="160"/>
      <c r="J1045" s="160"/>
      <c r="K1045" s="160"/>
      <c r="L1045" s="160"/>
      <c r="M1045" s="160"/>
    </row>
    <row r="1046" spans="2:13">
      <c r="B1046" s="399"/>
      <c r="C1046" s="160"/>
      <c r="D1046" s="160"/>
      <c r="E1046" s="160"/>
      <c r="F1046" s="160"/>
      <c r="G1046" s="160"/>
      <c r="H1046" s="160"/>
      <c r="I1046" s="160"/>
      <c r="J1046" s="160"/>
      <c r="K1046" s="160"/>
      <c r="L1046" s="160"/>
      <c r="M1046" s="160"/>
    </row>
    <row r="1047" spans="2:13">
      <c r="B1047" s="399"/>
      <c r="C1047" s="160"/>
      <c r="D1047" s="160"/>
      <c r="E1047" s="160"/>
      <c r="F1047" s="160"/>
      <c r="G1047" s="160"/>
      <c r="H1047" s="160"/>
      <c r="I1047" s="160"/>
      <c r="J1047" s="160"/>
      <c r="K1047" s="160"/>
      <c r="L1047" s="160"/>
      <c r="M1047" s="160"/>
    </row>
    <row r="1048" spans="2:13">
      <c r="B1048" s="399"/>
      <c r="C1048" s="160"/>
      <c r="D1048" s="160"/>
      <c r="E1048" s="160"/>
      <c r="F1048" s="160"/>
      <c r="G1048" s="160"/>
      <c r="H1048" s="160"/>
      <c r="I1048" s="160"/>
      <c r="J1048" s="160"/>
      <c r="K1048" s="160"/>
      <c r="L1048" s="160"/>
      <c r="M1048" s="160"/>
    </row>
    <row r="1049" spans="2:13">
      <c r="B1049" s="399"/>
      <c r="C1049" s="160"/>
      <c r="D1049" s="160"/>
      <c r="E1049" s="160"/>
      <c r="F1049" s="160"/>
      <c r="G1049" s="160"/>
      <c r="H1049" s="160"/>
      <c r="I1049" s="160"/>
      <c r="J1049" s="160"/>
      <c r="K1049" s="160"/>
      <c r="L1049" s="160"/>
      <c r="M1049" s="160"/>
    </row>
    <row r="1050" spans="2:13">
      <c r="B1050" s="399"/>
      <c r="C1050" s="160"/>
      <c r="D1050" s="160"/>
      <c r="E1050" s="160"/>
      <c r="F1050" s="160"/>
      <c r="G1050" s="160"/>
      <c r="H1050" s="160"/>
      <c r="I1050" s="160"/>
      <c r="J1050" s="160"/>
      <c r="K1050" s="160"/>
      <c r="L1050" s="160"/>
      <c r="M1050" s="160"/>
    </row>
    <row r="1051" spans="2:13">
      <c r="B1051" s="399"/>
      <c r="C1051" s="160"/>
      <c r="D1051" s="160"/>
      <c r="E1051" s="160"/>
      <c r="F1051" s="160"/>
      <c r="G1051" s="160"/>
      <c r="H1051" s="160"/>
      <c r="I1051" s="160"/>
      <c r="J1051" s="160"/>
      <c r="K1051" s="160"/>
      <c r="L1051" s="160"/>
      <c r="M1051" s="160"/>
    </row>
    <row r="1052" spans="2:13">
      <c r="B1052" s="399"/>
      <c r="C1052" s="160"/>
      <c r="D1052" s="160"/>
      <c r="E1052" s="160"/>
      <c r="F1052" s="160"/>
      <c r="G1052" s="160"/>
      <c r="H1052" s="160"/>
      <c r="I1052" s="160"/>
      <c r="J1052" s="160"/>
      <c r="K1052" s="160"/>
      <c r="L1052" s="160"/>
      <c r="M1052" s="160"/>
    </row>
    <row r="1053" spans="2:13">
      <c r="B1053" s="399"/>
      <c r="C1053" s="160"/>
      <c r="D1053" s="160"/>
      <c r="E1053" s="160"/>
      <c r="F1053" s="160"/>
      <c r="G1053" s="160"/>
      <c r="H1053" s="160"/>
      <c r="I1053" s="160"/>
      <c r="J1053" s="160"/>
      <c r="K1053" s="160"/>
      <c r="L1053" s="160"/>
      <c r="M1053" s="160"/>
    </row>
    <row r="1054" spans="2:13">
      <c r="B1054" s="399"/>
      <c r="C1054" s="160"/>
      <c r="D1054" s="160"/>
      <c r="E1054" s="160"/>
      <c r="F1054" s="160"/>
      <c r="G1054" s="160"/>
      <c r="H1054" s="160"/>
      <c r="I1054" s="160"/>
      <c r="J1054" s="160"/>
      <c r="K1054" s="160"/>
      <c r="L1054" s="160"/>
      <c r="M1054" s="160"/>
    </row>
    <row r="1055" spans="2:13">
      <c r="B1055" s="399"/>
      <c r="C1055" s="160"/>
      <c r="D1055" s="160"/>
      <c r="E1055" s="160"/>
      <c r="F1055" s="160"/>
      <c r="G1055" s="160"/>
      <c r="H1055" s="160"/>
      <c r="I1055" s="160"/>
      <c r="J1055" s="160"/>
      <c r="K1055" s="160"/>
      <c r="L1055" s="160"/>
      <c r="M1055" s="160"/>
    </row>
    <row r="1056" spans="2:13">
      <c r="B1056" s="399"/>
      <c r="C1056" s="160"/>
      <c r="D1056" s="160"/>
      <c r="E1056" s="160"/>
      <c r="F1056" s="160"/>
      <c r="G1056" s="160"/>
      <c r="H1056" s="160"/>
      <c r="I1056" s="160"/>
      <c r="J1056" s="160"/>
      <c r="K1056" s="160"/>
      <c r="L1056" s="160"/>
      <c r="M1056" s="160"/>
    </row>
    <row r="1057" spans="2:13">
      <c r="B1057" s="399"/>
      <c r="C1057" s="160"/>
      <c r="D1057" s="160"/>
      <c r="E1057" s="160"/>
      <c r="F1057" s="160"/>
      <c r="G1057" s="160"/>
      <c r="H1057" s="160"/>
      <c r="I1057" s="160"/>
      <c r="J1057" s="160"/>
      <c r="K1057" s="160"/>
      <c r="L1057" s="160"/>
      <c r="M1057" s="160"/>
    </row>
    <row r="1058" spans="2:13">
      <c r="B1058" s="399"/>
      <c r="C1058" s="160"/>
      <c r="D1058" s="160"/>
      <c r="E1058" s="160"/>
      <c r="F1058" s="160"/>
      <c r="G1058" s="160"/>
      <c r="H1058" s="160"/>
      <c r="I1058" s="160"/>
      <c r="J1058" s="160"/>
      <c r="K1058" s="160"/>
      <c r="L1058" s="160"/>
      <c r="M1058" s="160"/>
    </row>
    <row r="1059" spans="2:13">
      <c r="B1059" s="399"/>
      <c r="C1059" s="160"/>
      <c r="D1059" s="160"/>
      <c r="E1059" s="160"/>
      <c r="F1059" s="160"/>
      <c r="G1059" s="160"/>
      <c r="H1059" s="160"/>
      <c r="I1059" s="160"/>
      <c r="J1059" s="160"/>
      <c r="K1059" s="160"/>
      <c r="L1059" s="160"/>
      <c r="M1059" s="160"/>
    </row>
    <row r="1060" spans="2:13">
      <c r="B1060" s="399"/>
      <c r="C1060" s="160"/>
      <c r="D1060" s="160"/>
      <c r="E1060" s="160"/>
      <c r="F1060" s="160"/>
      <c r="G1060" s="160"/>
      <c r="H1060" s="160"/>
      <c r="I1060" s="160"/>
      <c r="J1060" s="160"/>
      <c r="K1060" s="160"/>
      <c r="L1060" s="160"/>
      <c r="M1060" s="160"/>
    </row>
    <row r="1061" spans="2:13">
      <c r="B1061" s="399"/>
      <c r="C1061" s="160"/>
      <c r="D1061" s="160"/>
      <c r="E1061" s="160"/>
      <c r="F1061" s="160"/>
      <c r="G1061" s="160"/>
      <c r="H1061" s="160"/>
      <c r="I1061" s="160"/>
      <c r="J1061" s="160"/>
      <c r="K1061" s="160"/>
      <c r="L1061" s="160"/>
      <c r="M1061" s="160"/>
    </row>
    <row r="1062" spans="2:13">
      <c r="B1062" s="399"/>
      <c r="C1062" s="160"/>
      <c r="D1062" s="160"/>
      <c r="E1062" s="160"/>
      <c r="F1062" s="160"/>
      <c r="G1062" s="160"/>
      <c r="H1062" s="160"/>
      <c r="I1062" s="160"/>
      <c r="J1062" s="160"/>
      <c r="K1062" s="160"/>
      <c r="L1062" s="160"/>
      <c r="M1062" s="160"/>
    </row>
    <row r="1063" spans="2:13">
      <c r="B1063" s="399"/>
      <c r="C1063" s="160"/>
      <c r="D1063" s="160"/>
      <c r="E1063" s="160"/>
      <c r="F1063" s="160"/>
      <c r="G1063" s="160"/>
      <c r="H1063" s="160"/>
      <c r="I1063" s="160"/>
      <c r="J1063" s="160"/>
      <c r="K1063" s="160"/>
      <c r="L1063" s="160"/>
      <c r="M1063" s="160"/>
    </row>
    <row r="1064" spans="2:13">
      <c r="B1064" s="399"/>
      <c r="C1064" s="160"/>
      <c r="D1064" s="160"/>
      <c r="E1064" s="160"/>
      <c r="F1064" s="160"/>
      <c r="G1064" s="160"/>
      <c r="H1064" s="160"/>
      <c r="I1064" s="160"/>
      <c r="J1064" s="160"/>
      <c r="K1064" s="160"/>
      <c r="L1064" s="160"/>
      <c r="M1064" s="160"/>
    </row>
    <row r="1065" spans="2:13">
      <c r="B1065" s="399"/>
      <c r="C1065" s="160"/>
      <c r="D1065" s="160"/>
      <c r="E1065" s="160"/>
      <c r="F1065" s="160"/>
      <c r="G1065" s="160"/>
      <c r="H1065" s="160"/>
      <c r="I1065" s="160"/>
      <c r="J1065" s="160"/>
      <c r="K1065" s="160"/>
      <c r="L1065" s="160"/>
      <c r="M1065" s="160"/>
    </row>
    <row r="1066" spans="2:13">
      <c r="B1066" s="399"/>
      <c r="C1066" s="160"/>
      <c r="D1066" s="160"/>
      <c r="E1066" s="160"/>
      <c r="F1066" s="160"/>
      <c r="G1066" s="160"/>
      <c r="H1066" s="160"/>
      <c r="I1066" s="160"/>
      <c r="J1066" s="160"/>
      <c r="K1066" s="160"/>
      <c r="L1066" s="160"/>
      <c r="M1066" s="160"/>
    </row>
    <row r="1067" spans="2:13">
      <c r="B1067" s="399"/>
      <c r="C1067" s="160"/>
      <c r="D1067" s="160"/>
      <c r="E1067" s="160"/>
      <c r="F1067" s="160"/>
      <c r="G1067" s="160"/>
      <c r="H1067" s="160"/>
      <c r="I1067" s="160"/>
      <c r="J1067" s="160"/>
      <c r="K1067" s="160"/>
      <c r="L1067" s="160"/>
      <c r="M1067" s="160"/>
    </row>
    <row r="1068" spans="2:13">
      <c r="B1068" s="399"/>
      <c r="C1068" s="160"/>
      <c r="D1068" s="160"/>
      <c r="E1068" s="160"/>
      <c r="F1068" s="160"/>
      <c r="G1068" s="160"/>
      <c r="H1068" s="160"/>
      <c r="I1068" s="160"/>
      <c r="J1068" s="160"/>
      <c r="K1068" s="160"/>
      <c r="L1068" s="160"/>
      <c r="M1068" s="160"/>
    </row>
    <row r="1069" spans="2:13">
      <c r="B1069" s="399"/>
      <c r="C1069" s="160"/>
      <c r="D1069" s="160"/>
      <c r="E1069" s="160"/>
      <c r="F1069" s="160"/>
      <c r="G1069" s="160"/>
      <c r="H1069" s="160"/>
      <c r="I1069" s="160"/>
      <c r="J1069" s="160"/>
      <c r="K1069" s="160"/>
      <c r="L1069" s="160"/>
      <c r="M1069" s="160"/>
    </row>
    <row r="1070" spans="2:13">
      <c r="B1070" s="399"/>
      <c r="C1070" s="160"/>
      <c r="D1070" s="160"/>
      <c r="E1070" s="160"/>
      <c r="F1070" s="160"/>
      <c r="G1070" s="160"/>
      <c r="H1070" s="160"/>
      <c r="I1070" s="160"/>
      <c r="J1070" s="160"/>
      <c r="K1070" s="160"/>
      <c r="L1070" s="160"/>
      <c r="M1070" s="160"/>
    </row>
    <row r="1071" spans="2:13">
      <c r="B1071" s="399"/>
      <c r="C1071" s="160"/>
      <c r="D1071" s="160"/>
      <c r="E1071" s="160"/>
      <c r="F1071" s="160"/>
      <c r="G1071" s="160"/>
      <c r="H1071" s="160"/>
      <c r="I1071" s="160"/>
      <c r="J1071" s="160"/>
      <c r="K1071" s="160"/>
      <c r="L1071" s="160"/>
      <c r="M1071" s="160"/>
    </row>
    <row r="1072" spans="2:13">
      <c r="B1072" s="399"/>
      <c r="C1072" s="160"/>
      <c r="D1072" s="160"/>
      <c r="E1072" s="160"/>
      <c r="F1072" s="160"/>
      <c r="G1072" s="160"/>
      <c r="H1072" s="160"/>
      <c r="I1072" s="160"/>
      <c r="J1072" s="160"/>
      <c r="K1072" s="160"/>
      <c r="L1072" s="160"/>
      <c r="M1072" s="160"/>
    </row>
    <row r="1073" spans="2:13">
      <c r="B1073" s="399"/>
      <c r="C1073" s="160"/>
      <c r="D1073" s="160"/>
      <c r="E1073" s="160"/>
      <c r="F1073" s="160"/>
      <c r="G1073" s="160"/>
      <c r="H1073" s="160"/>
      <c r="I1073" s="160"/>
      <c r="J1073" s="160"/>
      <c r="K1073" s="160"/>
      <c r="L1073" s="160"/>
      <c r="M1073" s="160"/>
    </row>
    <row r="1074" spans="2:13">
      <c r="B1074" s="399"/>
      <c r="C1074" s="160"/>
      <c r="D1074" s="160"/>
      <c r="E1074" s="160"/>
      <c r="F1074" s="160"/>
      <c r="G1074" s="160"/>
      <c r="H1074" s="160"/>
      <c r="I1074" s="160"/>
      <c r="J1074" s="160"/>
      <c r="K1074" s="160"/>
      <c r="L1074" s="160"/>
      <c r="M1074" s="160"/>
    </row>
    <row r="1075" spans="2:13">
      <c r="B1075" s="399"/>
      <c r="C1075" s="160"/>
      <c r="D1075" s="160"/>
      <c r="E1075" s="160"/>
      <c r="F1075" s="160"/>
      <c r="G1075" s="160"/>
      <c r="H1075" s="160"/>
      <c r="I1075" s="160"/>
      <c r="J1075" s="160"/>
      <c r="K1075" s="160"/>
      <c r="L1075" s="160"/>
      <c r="M1075" s="160"/>
    </row>
    <row r="1076" spans="2:13">
      <c r="B1076" s="399"/>
      <c r="C1076" s="160"/>
      <c r="D1076" s="160"/>
      <c r="E1076" s="160"/>
      <c r="F1076" s="160"/>
      <c r="G1076" s="160"/>
      <c r="H1076" s="160"/>
      <c r="I1076" s="160"/>
      <c r="J1076" s="160"/>
      <c r="K1076" s="160"/>
      <c r="L1076" s="160"/>
      <c r="M1076" s="160"/>
    </row>
    <row r="1077" spans="2:13">
      <c r="B1077" s="399"/>
      <c r="C1077" s="160"/>
      <c r="D1077" s="160"/>
      <c r="E1077" s="160"/>
      <c r="F1077" s="160"/>
      <c r="G1077" s="160"/>
      <c r="H1077" s="160"/>
      <c r="I1077" s="160"/>
      <c r="J1077" s="160"/>
      <c r="K1077" s="160"/>
      <c r="L1077" s="160"/>
      <c r="M1077" s="160"/>
    </row>
    <row r="1078" spans="2:13">
      <c r="B1078" s="399"/>
      <c r="C1078" s="160"/>
      <c r="D1078" s="160"/>
      <c r="E1078" s="160"/>
      <c r="F1078" s="160"/>
      <c r="G1078" s="160"/>
      <c r="H1078" s="160"/>
      <c r="I1078" s="160"/>
      <c r="J1078" s="160"/>
      <c r="K1078" s="160"/>
      <c r="L1078" s="160"/>
      <c r="M1078" s="160"/>
    </row>
    <row r="1079" spans="2:13">
      <c r="B1079" s="399"/>
      <c r="C1079" s="160"/>
      <c r="D1079" s="160"/>
      <c r="E1079" s="160"/>
      <c r="F1079" s="160"/>
      <c r="G1079" s="160"/>
      <c r="H1079" s="160"/>
      <c r="I1079" s="160"/>
      <c r="J1079" s="160"/>
      <c r="K1079" s="160"/>
      <c r="L1079" s="160"/>
      <c r="M1079" s="160"/>
    </row>
    <row r="1080" spans="2:13">
      <c r="B1080" s="399"/>
      <c r="C1080" s="160"/>
      <c r="D1080" s="160"/>
      <c r="E1080" s="160"/>
      <c r="F1080" s="160"/>
      <c r="G1080" s="160"/>
      <c r="H1080" s="160"/>
      <c r="I1080" s="160"/>
      <c r="J1080" s="160"/>
      <c r="K1080" s="160"/>
      <c r="L1080" s="160"/>
      <c r="M1080" s="160"/>
    </row>
    <row r="1081" spans="2:13">
      <c r="B1081" s="399"/>
      <c r="C1081" s="160"/>
      <c r="D1081" s="160"/>
      <c r="E1081" s="160"/>
      <c r="F1081" s="160"/>
      <c r="G1081" s="160"/>
      <c r="H1081" s="160"/>
      <c r="I1081" s="160"/>
      <c r="J1081" s="160"/>
      <c r="K1081" s="160"/>
      <c r="L1081" s="160"/>
      <c r="M1081" s="160"/>
    </row>
    <row r="1082" spans="2:13">
      <c r="B1082" s="399"/>
      <c r="C1082" s="160"/>
      <c r="D1082" s="160"/>
      <c r="E1082" s="160"/>
      <c r="F1082" s="160"/>
      <c r="G1082" s="160"/>
      <c r="H1082" s="160"/>
      <c r="I1082" s="160"/>
      <c r="J1082" s="160"/>
      <c r="K1082" s="160"/>
      <c r="L1082" s="160"/>
      <c r="M1082" s="160"/>
    </row>
    <row r="1083" spans="2:13">
      <c r="B1083" s="399"/>
      <c r="C1083" s="160"/>
      <c r="D1083" s="160"/>
      <c r="E1083" s="160"/>
      <c r="F1083" s="160"/>
      <c r="G1083" s="160"/>
      <c r="H1083" s="160"/>
      <c r="I1083" s="160"/>
      <c r="J1083" s="160"/>
      <c r="K1083" s="160"/>
      <c r="L1083" s="160"/>
      <c r="M1083" s="160"/>
    </row>
    <row r="1084" spans="2:13">
      <c r="B1084" s="399"/>
      <c r="C1084" s="160"/>
      <c r="D1084" s="160"/>
      <c r="E1084" s="160"/>
      <c r="F1084" s="160"/>
      <c r="G1084" s="160"/>
      <c r="H1084" s="160"/>
      <c r="I1084" s="160"/>
      <c r="J1084" s="160"/>
      <c r="K1084" s="160"/>
      <c r="L1084" s="160"/>
      <c r="M1084" s="160"/>
    </row>
    <row r="1085" spans="2:13">
      <c r="B1085" s="399"/>
      <c r="C1085" s="160"/>
      <c r="D1085" s="160"/>
      <c r="E1085" s="160"/>
      <c r="F1085" s="160"/>
      <c r="G1085" s="160"/>
      <c r="H1085" s="160"/>
      <c r="I1085" s="160"/>
      <c r="J1085" s="160"/>
      <c r="K1085" s="160"/>
      <c r="L1085" s="160"/>
      <c r="M1085" s="160"/>
    </row>
    <row r="1086" spans="2:13">
      <c r="B1086" s="399"/>
      <c r="C1086" s="160"/>
      <c r="D1086" s="160"/>
      <c r="E1086" s="160"/>
      <c r="F1086" s="160"/>
      <c r="G1086" s="160"/>
      <c r="H1086" s="160"/>
      <c r="I1086" s="160"/>
      <c r="J1086" s="160"/>
      <c r="K1086" s="160"/>
      <c r="L1086" s="160"/>
      <c r="M1086" s="160"/>
    </row>
    <row r="1087" spans="2:13">
      <c r="B1087" s="399"/>
      <c r="C1087" s="160"/>
      <c r="D1087" s="160"/>
      <c r="E1087" s="160"/>
      <c r="F1087" s="160"/>
      <c r="G1087" s="160"/>
      <c r="H1087" s="160"/>
      <c r="I1087" s="160"/>
      <c r="J1087" s="160"/>
      <c r="K1087" s="160"/>
      <c r="L1087" s="160"/>
      <c r="M1087" s="160"/>
    </row>
    <row r="1088" spans="2:13">
      <c r="B1088" s="399"/>
      <c r="C1088" s="160"/>
      <c r="D1088" s="160"/>
      <c r="E1088" s="160"/>
      <c r="F1088" s="160"/>
      <c r="G1088" s="160"/>
      <c r="H1088" s="160"/>
      <c r="I1088" s="160"/>
      <c r="J1088" s="160"/>
      <c r="K1088" s="160"/>
      <c r="L1088" s="160"/>
      <c r="M1088" s="160"/>
    </row>
    <row r="1089" spans="2:13">
      <c r="B1089" s="399"/>
      <c r="C1089" s="160"/>
      <c r="D1089" s="160"/>
      <c r="E1089" s="160"/>
      <c r="F1089" s="160"/>
      <c r="G1089" s="160"/>
      <c r="H1089" s="160"/>
      <c r="I1089" s="160"/>
      <c r="J1089" s="160"/>
      <c r="K1089" s="160"/>
      <c r="L1089" s="160"/>
      <c r="M1089" s="160"/>
    </row>
    <row r="1090" spans="2:13">
      <c r="B1090" s="399"/>
      <c r="C1090" s="160"/>
      <c r="D1090" s="160"/>
      <c r="E1090" s="160"/>
      <c r="F1090" s="160"/>
      <c r="G1090" s="160"/>
      <c r="H1090" s="160"/>
      <c r="I1090" s="160"/>
      <c r="J1090" s="160"/>
      <c r="K1090" s="160"/>
      <c r="L1090" s="160"/>
      <c r="M1090" s="160"/>
    </row>
    <row r="1091" spans="2:13">
      <c r="B1091" s="399"/>
      <c r="C1091" s="160"/>
      <c r="D1091" s="160"/>
      <c r="E1091" s="160"/>
      <c r="F1091" s="160"/>
      <c r="G1091" s="160"/>
      <c r="H1091" s="160"/>
      <c r="I1091" s="160"/>
      <c r="J1091" s="160"/>
      <c r="K1091" s="160"/>
      <c r="L1091" s="160"/>
      <c r="M1091" s="160"/>
    </row>
    <row r="1092" spans="2:13">
      <c r="B1092" s="399"/>
      <c r="C1092" s="160"/>
      <c r="D1092" s="160"/>
      <c r="E1092" s="160"/>
      <c r="F1092" s="160"/>
      <c r="G1092" s="160"/>
      <c r="H1092" s="160"/>
      <c r="I1092" s="160"/>
      <c r="J1092" s="160"/>
      <c r="K1092" s="160"/>
      <c r="L1092" s="160"/>
      <c r="M1092" s="160"/>
    </row>
    <row r="1093" spans="2:13">
      <c r="B1093" s="399"/>
      <c r="C1093" s="160"/>
      <c r="D1093" s="160"/>
      <c r="E1093" s="160"/>
      <c r="F1093" s="160"/>
      <c r="G1093" s="160"/>
      <c r="H1093" s="160"/>
      <c r="I1093" s="160"/>
      <c r="J1093" s="160"/>
      <c r="K1093" s="160"/>
      <c r="L1093" s="160"/>
      <c r="M1093" s="160"/>
    </row>
    <row r="1094" spans="2:13">
      <c r="B1094" s="399"/>
      <c r="C1094" s="160"/>
      <c r="D1094" s="160"/>
      <c r="E1094" s="160"/>
      <c r="F1094" s="160"/>
      <c r="G1094" s="160"/>
      <c r="H1094" s="160"/>
      <c r="I1094" s="160"/>
      <c r="J1094" s="160"/>
      <c r="K1094" s="160"/>
      <c r="L1094" s="160"/>
      <c r="M1094" s="160"/>
    </row>
    <row r="1095" spans="2:13">
      <c r="B1095" s="399"/>
      <c r="C1095" s="160"/>
      <c r="D1095" s="160"/>
      <c r="E1095" s="160"/>
      <c r="F1095" s="160"/>
      <c r="G1095" s="160"/>
      <c r="H1095" s="160"/>
      <c r="I1095" s="160"/>
      <c r="J1095" s="160"/>
      <c r="K1095" s="160"/>
      <c r="L1095" s="160"/>
      <c r="M1095" s="160"/>
    </row>
    <row r="1096" spans="2:13">
      <c r="B1096" s="399"/>
      <c r="C1096" s="160"/>
      <c r="D1096" s="160"/>
      <c r="E1096" s="160"/>
      <c r="F1096" s="160"/>
      <c r="G1096" s="160"/>
      <c r="H1096" s="160"/>
      <c r="I1096" s="160"/>
      <c r="J1096" s="160"/>
      <c r="K1096" s="160"/>
      <c r="L1096" s="160"/>
      <c r="M1096" s="160"/>
    </row>
    <row r="1097" spans="2:13">
      <c r="B1097" s="399"/>
      <c r="C1097" s="160"/>
      <c r="D1097" s="160"/>
      <c r="E1097" s="160"/>
      <c r="F1097" s="160"/>
      <c r="G1097" s="160"/>
      <c r="H1097" s="160"/>
      <c r="I1097" s="160"/>
      <c r="J1097" s="160"/>
      <c r="K1097" s="160"/>
      <c r="L1097" s="160"/>
      <c r="M1097" s="160"/>
    </row>
    <row r="1098" spans="2:13">
      <c r="B1098" s="399"/>
      <c r="C1098" s="160"/>
      <c r="D1098" s="160"/>
      <c r="E1098" s="160"/>
      <c r="F1098" s="160"/>
      <c r="G1098" s="160"/>
      <c r="H1098" s="160"/>
      <c r="I1098" s="160"/>
      <c r="J1098" s="160"/>
      <c r="K1098" s="160"/>
      <c r="L1098" s="160"/>
      <c r="M1098" s="160"/>
    </row>
    <row r="1099" spans="2:13">
      <c r="B1099" s="399"/>
      <c r="C1099" s="160"/>
      <c r="D1099" s="160"/>
      <c r="E1099" s="160"/>
      <c r="F1099" s="160"/>
      <c r="G1099" s="160"/>
      <c r="H1099" s="160"/>
      <c r="I1099" s="160"/>
      <c r="J1099" s="160"/>
      <c r="K1099" s="160"/>
      <c r="L1099" s="160"/>
      <c r="M1099" s="160"/>
    </row>
    <row r="1100" spans="2:13">
      <c r="B1100" s="399"/>
      <c r="C1100" s="160"/>
      <c r="D1100" s="160"/>
      <c r="E1100" s="160"/>
      <c r="F1100" s="160"/>
      <c r="G1100" s="160"/>
      <c r="H1100" s="160"/>
      <c r="I1100" s="160"/>
      <c r="J1100" s="160"/>
      <c r="K1100" s="160"/>
      <c r="L1100" s="160"/>
      <c r="M1100" s="160"/>
    </row>
    <row r="1101" spans="2:13">
      <c r="B1101" s="399"/>
      <c r="C1101" s="160"/>
      <c r="D1101" s="160"/>
      <c r="E1101" s="160"/>
      <c r="F1101" s="160"/>
      <c r="G1101" s="160"/>
      <c r="H1101" s="160"/>
      <c r="I1101" s="160"/>
      <c r="J1101" s="160"/>
      <c r="K1101" s="160"/>
      <c r="L1101" s="160"/>
      <c r="M1101" s="160"/>
    </row>
    <row r="1102" spans="2:13">
      <c r="B1102" s="399"/>
      <c r="C1102" s="160"/>
      <c r="D1102" s="160"/>
      <c r="E1102" s="160"/>
      <c r="F1102" s="160"/>
      <c r="G1102" s="160"/>
      <c r="H1102" s="160"/>
      <c r="I1102" s="160"/>
      <c r="J1102" s="160"/>
      <c r="K1102" s="160"/>
      <c r="L1102" s="160"/>
      <c r="M1102" s="160"/>
    </row>
    <row r="1103" spans="2:13">
      <c r="B1103" s="399"/>
      <c r="C1103" s="160"/>
      <c r="D1103" s="160"/>
      <c r="E1103" s="160"/>
      <c r="F1103" s="160"/>
      <c r="G1103" s="160"/>
      <c r="H1103" s="160"/>
      <c r="I1103" s="160"/>
      <c r="J1103" s="160"/>
      <c r="K1103" s="160"/>
      <c r="L1103" s="160"/>
      <c r="M1103" s="160"/>
    </row>
    <row r="1104" spans="2:13">
      <c r="B1104" s="399"/>
      <c r="C1104" s="160"/>
      <c r="D1104" s="160"/>
      <c r="E1104" s="160"/>
      <c r="F1104" s="160"/>
      <c r="G1104" s="160"/>
      <c r="H1104" s="160"/>
      <c r="I1104" s="160"/>
      <c r="J1104" s="160"/>
      <c r="K1104" s="160"/>
      <c r="L1104" s="160"/>
      <c r="M1104" s="160"/>
    </row>
    <row r="1105" spans="2:13">
      <c r="B1105" s="399"/>
      <c r="C1105" s="160"/>
      <c r="D1105" s="160"/>
      <c r="E1105" s="160"/>
      <c r="F1105" s="160"/>
      <c r="G1105" s="160"/>
      <c r="H1105" s="160"/>
      <c r="I1105" s="160"/>
      <c r="J1105" s="160"/>
      <c r="K1105" s="160"/>
      <c r="L1105" s="160"/>
      <c r="M1105" s="160"/>
    </row>
    <row r="1106" spans="2:13">
      <c r="B1106" s="399"/>
      <c r="C1106" s="160"/>
      <c r="D1106" s="160"/>
      <c r="E1106" s="160"/>
      <c r="F1106" s="160"/>
      <c r="G1106" s="160"/>
      <c r="H1106" s="160"/>
      <c r="I1106" s="160"/>
      <c r="J1106" s="160"/>
      <c r="K1106" s="160"/>
      <c r="L1106" s="160"/>
      <c r="M1106" s="160"/>
    </row>
    <row r="1107" spans="2:13">
      <c r="B1107" s="399"/>
      <c r="C1107" s="160"/>
      <c r="D1107" s="160"/>
      <c r="E1107" s="160"/>
      <c r="F1107" s="160"/>
      <c r="G1107" s="160"/>
      <c r="H1107" s="160"/>
      <c r="I1107" s="160"/>
      <c r="J1107" s="160"/>
      <c r="K1107" s="160"/>
      <c r="L1107" s="160"/>
      <c r="M1107" s="160"/>
    </row>
    <row r="1108" spans="2:13">
      <c r="B1108" s="399"/>
      <c r="C1108" s="160"/>
      <c r="D1108" s="160"/>
      <c r="E1108" s="160"/>
      <c r="F1108" s="160"/>
      <c r="G1108" s="160"/>
      <c r="H1108" s="160"/>
      <c r="I1108" s="160"/>
      <c r="J1108" s="160"/>
      <c r="K1108" s="160"/>
      <c r="L1108" s="160"/>
      <c r="M1108" s="160"/>
    </row>
    <row r="1109" spans="2:13">
      <c r="B1109" s="399"/>
      <c r="C1109" s="160"/>
      <c r="D1109" s="160"/>
      <c r="E1109" s="160"/>
      <c r="F1109" s="160"/>
      <c r="G1109" s="160"/>
      <c r="H1109" s="160"/>
      <c r="I1109" s="160"/>
      <c r="J1109" s="160"/>
      <c r="K1109" s="160"/>
      <c r="L1109" s="160"/>
      <c r="M1109" s="160"/>
    </row>
    <row r="1110" spans="2:13">
      <c r="B1110" s="399"/>
      <c r="C1110" s="160"/>
      <c r="D1110" s="160"/>
      <c r="E1110" s="160"/>
      <c r="F1110" s="160"/>
      <c r="G1110" s="160"/>
      <c r="H1110" s="160"/>
      <c r="I1110" s="160"/>
      <c r="J1110" s="160"/>
      <c r="K1110" s="160"/>
      <c r="L1110" s="160"/>
      <c r="M1110" s="160"/>
    </row>
    <row r="1111" spans="2:13">
      <c r="B1111" s="399"/>
      <c r="C1111" s="160"/>
      <c r="D1111" s="160"/>
      <c r="E1111" s="160"/>
      <c r="F1111" s="160"/>
      <c r="G1111" s="160"/>
      <c r="H1111" s="160"/>
      <c r="I1111" s="160"/>
      <c r="J1111" s="160"/>
      <c r="K1111" s="160"/>
      <c r="L1111" s="160"/>
      <c r="M1111" s="160"/>
    </row>
    <row r="1112" spans="2:13">
      <c r="B1112" s="399"/>
      <c r="C1112" s="160"/>
      <c r="D1112" s="160"/>
      <c r="E1112" s="160"/>
      <c r="F1112" s="160"/>
      <c r="G1112" s="160"/>
      <c r="H1112" s="160"/>
      <c r="I1112" s="160"/>
      <c r="J1112" s="160"/>
      <c r="K1112" s="160"/>
      <c r="L1112" s="160"/>
      <c r="M1112" s="160"/>
    </row>
    <row r="1113" spans="2:13">
      <c r="B1113" s="399"/>
      <c r="C1113" s="160"/>
      <c r="D1113" s="160"/>
      <c r="E1113" s="160"/>
      <c r="F1113" s="160"/>
      <c r="G1113" s="160"/>
      <c r="H1113" s="160"/>
      <c r="I1113" s="160"/>
      <c r="J1113" s="160"/>
      <c r="K1113" s="160"/>
      <c r="L1113" s="160"/>
      <c r="M1113" s="160"/>
    </row>
    <row r="1114" spans="2:13">
      <c r="B1114" s="399"/>
      <c r="C1114" s="160"/>
      <c r="D1114" s="160"/>
      <c r="E1114" s="160"/>
      <c r="F1114" s="160"/>
      <c r="G1114" s="160"/>
      <c r="H1114" s="160"/>
      <c r="I1114" s="160"/>
      <c r="J1114" s="160"/>
      <c r="K1114" s="160"/>
      <c r="L1114" s="160"/>
      <c r="M1114" s="160"/>
    </row>
    <row r="1115" spans="2:13">
      <c r="B1115" s="399"/>
      <c r="C1115" s="160"/>
      <c r="D1115" s="160"/>
      <c r="E1115" s="160"/>
      <c r="F1115" s="160"/>
      <c r="G1115" s="160"/>
      <c r="H1115" s="160"/>
      <c r="I1115" s="160"/>
      <c r="J1115" s="160"/>
      <c r="K1115" s="160"/>
      <c r="L1115" s="160"/>
      <c r="M1115" s="160"/>
    </row>
    <row r="1116" spans="2:13">
      <c r="B1116" s="399"/>
      <c r="C1116" s="160"/>
      <c r="D1116" s="160"/>
      <c r="E1116" s="160"/>
      <c r="F1116" s="160"/>
      <c r="G1116" s="160"/>
      <c r="H1116" s="160"/>
      <c r="I1116" s="160"/>
      <c r="J1116" s="160"/>
      <c r="K1116" s="160"/>
      <c r="L1116" s="160"/>
      <c r="M1116" s="160"/>
    </row>
    <row r="1117" spans="2:13">
      <c r="B1117" s="399"/>
      <c r="C1117" s="160"/>
      <c r="D1117" s="160"/>
      <c r="E1117" s="160"/>
      <c r="F1117" s="160"/>
      <c r="G1117" s="160"/>
      <c r="H1117" s="160"/>
      <c r="I1117" s="160"/>
      <c r="J1117" s="160"/>
      <c r="K1117" s="160"/>
      <c r="L1117" s="160"/>
      <c r="M1117" s="160"/>
    </row>
    <row r="1118" spans="2:13">
      <c r="B1118" s="399"/>
      <c r="C1118" s="160"/>
      <c r="D1118" s="160"/>
      <c r="E1118" s="160"/>
      <c r="F1118" s="160"/>
      <c r="G1118" s="160"/>
      <c r="H1118" s="160"/>
      <c r="I1118" s="160"/>
      <c r="J1118" s="160"/>
      <c r="K1118" s="160"/>
      <c r="L1118" s="160"/>
      <c r="M1118" s="160"/>
    </row>
    <row r="1119" spans="2:13">
      <c r="B1119" s="399"/>
      <c r="C1119" s="160"/>
      <c r="D1119" s="160"/>
      <c r="E1119" s="160"/>
      <c r="F1119" s="160"/>
      <c r="G1119" s="160"/>
      <c r="H1119" s="160"/>
      <c r="I1119" s="160"/>
      <c r="J1119" s="160"/>
      <c r="K1119" s="160"/>
      <c r="L1119" s="160"/>
      <c r="M1119" s="160"/>
    </row>
    <row r="1120" spans="2:13">
      <c r="B1120" s="399"/>
      <c r="C1120" s="160"/>
      <c r="D1120" s="160"/>
      <c r="E1120" s="160"/>
      <c r="F1120" s="160"/>
      <c r="G1120" s="160"/>
      <c r="H1120" s="160"/>
      <c r="I1120" s="160"/>
      <c r="J1120" s="160"/>
      <c r="K1120" s="160"/>
      <c r="L1120" s="160"/>
      <c r="M1120" s="160"/>
    </row>
    <row r="1121" spans="2:13">
      <c r="B1121" s="399"/>
      <c r="C1121" s="160"/>
      <c r="D1121" s="160"/>
      <c r="E1121" s="160"/>
      <c r="F1121" s="160"/>
      <c r="G1121" s="160"/>
      <c r="H1121" s="160"/>
      <c r="I1121" s="160"/>
      <c r="J1121" s="160"/>
      <c r="K1121" s="160"/>
      <c r="L1121" s="160"/>
      <c r="M1121" s="160"/>
    </row>
    <row r="1122" spans="2:13">
      <c r="B1122" s="399"/>
      <c r="C1122" s="160"/>
      <c r="D1122" s="160"/>
      <c r="E1122" s="160"/>
      <c r="F1122" s="160"/>
      <c r="G1122" s="160"/>
      <c r="H1122" s="160"/>
      <c r="I1122" s="160"/>
      <c r="J1122" s="160"/>
      <c r="K1122" s="160"/>
      <c r="L1122" s="160"/>
      <c r="M1122" s="160"/>
    </row>
    <row r="1123" spans="2:13">
      <c r="B1123" s="399"/>
      <c r="C1123" s="160"/>
      <c r="D1123" s="160"/>
      <c r="E1123" s="160"/>
      <c r="F1123" s="160"/>
      <c r="G1123" s="160"/>
      <c r="H1123" s="160"/>
      <c r="I1123" s="160"/>
      <c r="J1123" s="160"/>
      <c r="K1123" s="160"/>
      <c r="L1123" s="160"/>
      <c r="M1123" s="160"/>
    </row>
    <row r="1124" spans="2:13">
      <c r="B1124" s="399"/>
      <c r="C1124" s="160"/>
      <c r="D1124" s="160"/>
      <c r="E1124" s="160"/>
      <c r="F1124" s="160"/>
      <c r="G1124" s="160"/>
      <c r="H1124" s="160"/>
      <c r="I1124" s="160"/>
      <c r="J1124" s="160"/>
      <c r="K1124" s="160"/>
      <c r="L1124" s="160"/>
      <c r="M1124" s="160"/>
    </row>
    <row r="1125" spans="2:13">
      <c r="B1125" s="399"/>
      <c r="C1125" s="160"/>
      <c r="D1125" s="160"/>
      <c r="E1125" s="160"/>
      <c r="F1125" s="160"/>
      <c r="G1125" s="160"/>
      <c r="H1125" s="160"/>
      <c r="I1125" s="160"/>
      <c r="J1125" s="160"/>
      <c r="K1125" s="160"/>
      <c r="L1125" s="160"/>
      <c r="M1125" s="160"/>
    </row>
    <row r="1126" spans="2:13">
      <c r="B1126" s="399"/>
      <c r="C1126" s="160"/>
      <c r="D1126" s="160"/>
      <c r="E1126" s="160"/>
      <c r="F1126" s="160"/>
      <c r="G1126" s="160"/>
      <c r="H1126" s="160"/>
      <c r="I1126" s="160"/>
      <c r="J1126" s="160"/>
      <c r="K1126" s="160"/>
      <c r="L1126" s="160"/>
      <c r="M1126" s="160"/>
    </row>
    <row r="1127" spans="2:13">
      <c r="B1127" s="399"/>
      <c r="C1127" s="160"/>
      <c r="D1127" s="160"/>
      <c r="E1127" s="160"/>
      <c r="F1127" s="160"/>
      <c r="G1127" s="160"/>
      <c r="H1127" s="160"/>
      <c r="I1127" s="160"/>
      <c r="J1127" s="160"/>
      <c r="K1127" s="160"/>
      <c r="L1127" s="160"/>
      <c r="M1127" s="160"/>
    </row>
    <row r="1128" spans="2:13">
      <c r="B1128" s="399"/>
      <c r="C1128" s="160"/>
      <c r="D1128" s="160"/>
      <c r="E1128" s="160"/>
      <c r="F1128" s="160"/>
      <c r="G1128" s="160"/>
      <c r="H1128" s="160"/>
      <c r="I1128" s="160"/>
      <c r="J1128" s="160"/>
      <c r="K1128" s="160"/>
      <c r="L1128" s="160"/>
      <c r="M1128" s="160"/>
    </row>
    <row r="1129" spans="2:13">
      <c r="B1129" s="399"/>
      <c r="C1129" s="160"/>
      <c r="D1129" s="160"/>
      <c r="E1129" s="160"/>
      <c r="F1129" s="160"/>
      <c r="G1129" s="160"/>
      <c r="H1129" s="160"/>
      <c r="I1129" s="160"/>
      <c r="J1129" s="160"/>
      <c r="K1129" s="160"/>
      <c r="L1129" s="160"/>
      <c r="M1129" s="160"/>
    </row>
    <row r="1130" spans="2:13">
      <c r="B1130" s="399"/>
      <c r="C1130" s="160"/>
      <c r="D1130" s="160"/>
      <c r="E1130" s="160"/>
      <c r="F1130" s="160"/>
      <c r="G1130" s="160"/>
      <c r="H1130" s="160"/>
      <c r="I1130" s="160"/>
      <c r="J1130" s="160"/>
      <c r="K1130" s="160"/>
      <c r="L1130" s="160"/>
      <c r="M1130" s="160"/>
    </row>
    <row r="1131" spans="2:13">
      <c r="B1131" s="399"/>
      <c r="C1131" s="160"/>
      <c r="D1131" s="160"/>
      <c r="E1131" s="160"/>
      <c r="F1131" s="160"/>
      <c r="G1131" s="160"/>
      <c r="H1131" s="160"/>
      <c r="I1131" s="160"/>
      <c r="J1131" s="160"/>
      <c r="K1131" s="160"/>
      <c r="L1131" s="160"/>
      <c r="M1131" s="160"/>
    </row>
    <row r="1132" spans="2:13">
      <c r="B1132" s="399"/>
      <c r="C1132" s="160"/>
      <c r="D1132" s="160"/>
      <c r="E1132" s="160"/>
      <c r="F1132" s="160"/>
      <c r="G1132" s="160"/>
      <c r="H1132" s="160"/>
      <c r="I1132" s="160"/>
      <c r="J1132" s="160"/>
      <c r="K1132" s="160"/>
      <c r="L1132" s="160"/>
      <c r="M1132" s="160"/>
    </row>
    <row r="1133" spans="2:13">
      <c r="B1133" s="399"/>
      <c r="C1133" s="160"/>
      <c r="D1133" s="160"/>
      <c r="E1133" s="160"/>
      <c r="F1133" s="160"/>
      <c r="G1133" s="160"/>
      <c r="H1133" s="160"/>
      <c r="I1133" s="160"/>
      <c r="J1133" s="160"/>
      <c r="K1133" s="160"/>
      <c r="L1133" s="160"/>
      <c r="M1133" s="160"/>
    </row>
    <row r="1134" spans="2:13">
      <c r="B1134" s="399"/>
      <c r="C1134" s="160"/>
      <c r="D1134" s="160"/>
      <c r="E1134" s="160"/>
      <c r="F1134" s="160"/>
      <c r="G1134" s="160"/>
      <c r="H1134" s="160"/>
      <c r="I1134" s="160"/>
      <c r="J1134" s="160"/>
      <c r="K1134" s="160"/>
      <c r="L1134" s="160"/>
      <c r="M1134" s="160"/>
    </row>
    <row r="1135" spans="2:13">
      <c r="B1135" s="399"/>
      <c r="C1135" s="160"/>
      <c r="D1135" s="160"/>
      <c r="E1135" s="160"/>
      <c r="F1135" s="160"/>
      <c r="G1135" s="160"/>
      <c r="H1135" s="160"/>
      <c r="I1135" s="160"/>
      <c r="J1135" s="160"/>
      <c r="K1135" s="160"/>
      <c r="L1135" s="160"/>
      <c r="M1135" s="160"/>
    </row>
    <row r="1136" spans="2:13">
      <c r="B1136" s="399"/>
      <c r="C1136" s="160"/>
      <c r="D1136" s="160"/>
      <c r="E1136" s="160"/>
      <c r="F1136" s="160"/>
      <c r="G1136" s="160"/>
      <c r="H1136" s="160"/>
      <c r="I1136" s="160"/>
      <c r="J1136" s="160"/>
      <c r="K1136" s="160"/>
      <c r="L1136" s="160"/>
      <c r="M1136" s="160"/>
    </row>
    <row r="1137" spans="2:13">
      <c r="B1137" s="399"/>
      <c r="C1137" s="160"/>
      <c r="D1137" s="160"/>
      <c r="E1137" s="160"/>
      <c r="F1137" s="160"/>
      <c r="G1137" s="160"/>
      <c r="H1137" s="160"/>
      <c r="I1137" s="160"/>
      <c r="J1137" s="160"/>
      <c r="K1137" s="160"/>
      <c r="L1137" s="160"/>
      <c r="M1137" s="160"/>
    </row>
    <row r="1138" spans="2:13">
      <c r="B1138" s="399"/>
      <c r="C1138" s="160"/>
      <c r="D1138" s="160"/>
      <c r="E1138" s="160"/>
      <c r="F1138" s="160"/>
      <c r="G1138" s="160"/>
      <c r="H1138" s="160"/>
      <c r="I1138" s="160"/>
      <c r="J1138" s="160"/>
      <c r="K1138" s="160"/>
      <c r="L1138" s="160"/>
      <c r="M1138" s="160"/>
    </row>
    <row r="1139" spans="2:13">
      <c r="B1139" s="399"/>
      <c r="C1139" s="160"/>
      <c r="D1139" s="160"/>
      <c r="E1139" s="160"/>
      <c r="F1139" s="160"/>
      <c r="G1139" s="160"/>
      <c r="H1139" s="160"/>
      <c r="I1139" s="160"/>
      <c r="J1139" s="160"/>
      <c r="K1139" s="160"/>
      <c r="L1139" s="160"/>
      <c r="M1139" s="160"/>
    </row>
    <row r="1140" spans="2:13">
      <c r="B1140" s="399"/>
      <c r="C1140" s="160"/>
      <c r="D1140" s="160"/>
      <c r="E1140" s="160"/>
      <c r="F1140" s="160"/>
      <c r="G1140" s="160"/>
      <c r="H1140" s="160"/>
      <c r="I1140" s="160"/>
      <c r="J1140" s="160"/>
      <c r="K1140" s="160"/>
      <c r="L1140" s="160"/>
      <c r="M1140" s="160"/>
    </row>
    <row r="1141" spans="2:13">
      <c r="B1141" s="399"/>
      <c r="C1141" s="160"/>
      <c r="D1141" s="160"/>
      <c r="E1141" s="160"/>
      <c r="F1141" s="160"/>
      <c r="G1141" s="160"/>
      <c r="H1141" s="160"/>
      <c r="I1141" s="160"/>
      <c r="J1141" s="160"/>
      <c r="K1141" s="160"/>
      <c r="L1141" s="160"/>
      <c r="M1141" s="160"/>
    </row>
    <row r="1142" spans="2:13">
      <c r="B1142" s="399"/>
      <c r="C1142" s="160"/>
      <c r="D1142" s="160"/>
      <c r="E1142" s="160"/>
      <c r="F1142" s="160"/>
      <c r="G1142" s="160"/>
      <c r="H1142" s="160"/>
      <c r="I1142" s="160"/>
      <c r="J1142" s="160"/>
      <c r="K1142" s="160"/>
      <c r="L1142" s="160"/>
      <c r="M1142" s="160"/>
    </row>
    <row r="1143" spans="2:13">
      <c r="B1143" s="399"/>
      <c r="C1143" s="160"/>
      <c r="D1143" s="160"/>
      <c r="E1143" s="160"/>
      <c r="F1143" s="160"/>
      <c r="G1143" s="160"/>
      <c r="H1143" s="160"/>
      <c r="I1143" s="160"/>
      <c r="J1143" s="160"/>
      <c r="K1143" s="160"/>
      <c r="L1143" s="160"/>
      <c r="M1143" s="160"/>
    </row>
    <row r="1144" spans="2:13">
      <c r="B1144" s="399"/>
      <c r="C1144" s="160"/>
      <c r="D1144" s="160"/>
      <c r="E1144" s="160"/>
      <c r="F1144" s="160"/>
      <c r="G1144" s="160"/>
      <c r="H1144" s="160"/>
      <c r="I1144" s="160"/>
      <c r="J1144" s="160"/>
      <c r="K1144" s="160"/>
      <c r="L1144" s="160"/>
      <c r="M1144" s="160"/>
    </row>
    <row r="1145" spans="2:13">
      <c r="B1145" s="399"/>
      <c r="C1145" s="160"/>
      <c r="D1145" s="160"/>
      <c r="E1145" s="160"/>
      <c r="F1145" s="160"/>
      <c r="G1145" s="160"/>
      <c r="H1145" s="160"/>
      <c r="I1145" s="160"/>
      <c r="J1145" s="160"/>
      <c r="K1145" s="160"/>
      <c r="L1145" s="160"/>
      <c r="M1145" s="160"/>
    </row>
    <row r="1146" spans="2:13">
      <c r="B1146" s="399"/>
      <c r="C1146" s="160"/>
      <c r="D1146" s="160"/>
      <c r="E1146" s="160"/>
      <c r="F1146" s="160"/>
      <c r="G1146" s="160"/>
      <c r="H1146" s="160"/>
      <c r="I1146" s="160"/>
      <c r="J1146" s="160"/>
      <c r="K1146" s="160"/>
      <c r="L1146" s="160"/>
      <c r="M1146" s="160"/>
    </row>
    <row r="1147" spans="2:13">
      <c r="B1147" s="399"/>
      <c r="C1147" s="160"/>
      <c r="D1147" s="160"/>
      <c r="E1147" s="160"/>
      <c r="F1147" s="160"/>
      <c r="G1147" s="160"/>
      <c r="H1147" s="160"/>
      <c r="I1147" s="160"/>
      <c r="J1147" s="160"/>
      <c r="K1147" s="160"/>
      <c r="L1147" s="160"/>
      <c r="M1147" s="160"/>
    </row>
    <row r="1148" spans="2:13">
      <c r="B1148" s="399"/>
      <c r="C1148" s="160"/>
      <c r="D1148" s="160"/>
      <c r="E1148" s="160"/>
      <c r="F1148" s="160"/>
      <c r="G1148" s="160"/>
      <c r="H1148" s="160"/>
      <c r="I1148" s="160"/>
      <c r="J1148" s="160"/>
      <c r="K1148" s="160"/>
      <c r="L1148" s="160"/>
      <c r="M1148" s="160"/>
    </row>
    <row r="1149" spans="2:13">
      <c r="B1149" s="399"/>
      <c r="C1149" s="160"/>
      <c r="D1149" s="160"/>
      <c r="E1149" s="160"/>
      <c r="F1149" s="160"/>
      <c r="G1149" s="160"/>
      <c r="H1149" s="160"/>
      <c r="I1149" s="160"/>
      <c r="J1149" s="160"/>
      <c r="K1149" s="160"/>
      <c r="L1149" s="160"/>
      <c r="M1149" s="160"/>
    </row>
    <row r="1150" spans="2:13">
      <c r="B1150" s="399"/>
      <c r="C1150" s="160"/>
      <c r="D1150" s="160"/>
      <c r="E1150" s="160"/>
      <c r="F1150" s="160"/>
      <c r="G1150" s="160"/>
      <c r="H1150" s="160"/>
      <c r="I1150" s="160"/>
      <c r="J1150" s="160"/>
      <c r="K1150" s="160"/>
      <c r="L1150" s="160"/>
      <c r="M1150" s="160"/>
    </row>
    <row r="1151" spans="2:13">
      <c r="B1151" s="399"/>
      <c r="C1151" s="160"/>
      <c r="D1151" s="160"/>
      <c r="E1151" s="160"/>
      <c r="F1151" s="160"/>
      <c r="G1151" s="160"/>
      <c r="H1151" s="160"/>
      <c r="I1151" s="160"/>
      <c r="J1151" s="160"/>
      <c r="K1151" s="160"/>
      <c r="L1151" s="160"/>
      <c r="M1151" s="160"/>
    </row>
    <row r="1152" spans="2:13">
      <c r="B1152" s="399"/>
      <c r="C1152" s="160"/>
      <c r="D1152" s="160"/>
      <c r="E1152" s="160"/>
      <c r="F1152" s="160"/>
      <c r="G1152" s="160"/>
      <c r="H1152" s="160"/>
      <c r="I1152" s="160"/>
      <c r="J1152" s="160"/>
      <c r="K1152" s="160"/>
      <c r="L1152" s="160"/>
      <c r="M1152" s="160"/>
    </row>
    <row r="1153" spans="2:13">
      <c r="B1153" s="399"/>
      <c r="C1153" s="160"/>
      <c r="D1153" s="160"/>
      <c r="E1153" s="160"/>
      <c r="F1153" s="160"/>
      <c r="G1153" s="160"/>
      <c r="H1153" s="160"/>
      <c r="I1153" s="160"/>
      <c r="J1153" s="160"/>
      <c r="K1153" s="160"/>
      <c r="L1153" s="160"/>
      <c r="M1153" s="160"/>
    </row>
    <row r="1154" spans="2:13">
      <c r="B1154" s="399"/>
      <c r="C1154" s="160"/>
      <c r="D1154" s="160"/>
      <c r="E1154" s="160"/>
      <c r="F1154" s="160"/>
      <c r="G1154" s="160"/>
      <c r="H1154" s="160"/>
      <c r="I1154" s="160"/>
      <c r="J1154" s="160"/>
      <c r="K1154" s="160"/>
      <c r="L1154" s="160"/>
      <c r="M1154" s="160"/>
    </row>
    <row r="1155" spans="2:13">
      <c r="B1155" s="399"/>
      <c r="C1155" s="160"/>
      <c r="D1155" s="160"/>
      <c r="E1155" s="160"/>
      <c r="F1155" s="160"/>
      <c r="G1155" s="160"/>
      <c r="H1155" s="160"/>
      <c r="I1155" s="160"/>
      <c r="J1155" s="160"/>
      <c r="K1155" s="160"/>
      <c r="L1155" s="160"/>
      <c r="M1155" s="160"/>
    </row>
    <row r="1156" spans="2:13">
      <c r="B1156" s="399"/>
      <c r="C1156" s="160"/>
      <c r="D1156" s="160"/>
      <c r="E1156" s="160"/>
      <c r="F1156" s="160"/>
      <c r="G1156" s="160"/>
      <c r="H1156" s="160"/>
      <c r="I1156" s="160"/>
      <c r="J1156" s="160"/>
      <c r="K1156" s="160"/>
      <c r="L1156" s="160"/>
      <c r="M1156" s="160"/>
    </row>
    <row r="1157" spans="2:13">
      <c r="B1157" s="399"/>
      <c r="C1157" s="160"/>
      <c r="D1157" s="160"/>
      <c r="E1157" s="160"/>
      <c r="F1157" s="160"/>
      <c r="G1157" s="160"/>
      <c r="H1157" s="160"/>
      <c r="I1157" s="160"/>
      <c r="J1157" s="160"/>
      <c r="K1157" s="160"/>
      <c r="L1157" s="160"/>
      <c r="M1157" s="160"/>
    </row>
    <row r="1158" spans="2:13">
      <c r="B1158" s="399"/>
      <c r="C1158" s="160"/>
      <c r="D1158" s="160"/>
      <c r="E1158" s="160"/>
      <c r="F1158" s="160"/>
      <c r="G1158" s="160"/>
      <c r="H1158" s="160"/>
      <c r="I1158" s="160"/>
      <c r="J1158" s="160"/>
      <c r="K1158" s="160"/>
      <c r="L1158" s="160"/>
      <c r="M1158" s="160"/>
    </row>
    <row r="1159" spans="2:13">
      <c r="B1159" s="399"/>
      <c r="C1159" s="160"/>
      <c r="D1159" s="160"/>
      <c r="E1159" s="160"/>
      <c r="F1159" s="160"/>
      <c r="G1159" s="160"/>
      <c r="H1159" s="160"/>
      <c r="I1159" s="160"/>
      <c r="J1159" s="160"/>
      <c r="K1159" s="160"/>
      <c r="L1159" s="160"/>
      <c r="M1159" s="160"/>
    </row>
    <row r="1160" spans="2:13">
      <c r="B1160" s="399"/>
      <c r="C1160" s="160"/>
      <c r="D1160" s="160"/>
      <c r="E1160" s="160"/>
      <c r="F1160" s="160"/>
      <c r="G1160" s="160"/>
      <c r="H1160" s="160"/>
      <c r="I1160" s="160"/>
      <c r="J1160" s="160"/>
      <c r="K1160" s="160"/>
      <c r="L1160" s="160"/>
      <c r="M1160" s="160"/>
    </row>
    <row r="1161" spans="2:13">
      <c r="B1161" s="399"/>
      <c r="C1161" s="160"/>
      <c r="D1161" s="160"/>
      <c r="E1161" s="160"/>
      <c r="F1161" s="160"/>
      <c r="G1161" s="160"/>
      <c r="H1161" s="160"/>
      <c r="I1161" s="160"/>
      <c r="J1161" s="160"/>
      <c r="K1161" s="160"/>
      <c r="L1161" s="160"/>
      <c r="M1161" s="160"/>
    </row>
    <row r="1162" spans="2:13">
      <c r="B1162" s="399"/>
      <c r="C1162" s="160"/>
      <c r="D1162" s="160"/>
      <c r="E1162" s="160"/>
      <c r="F1162" s="160"/>
      <c r="G1162" s="160"/>
      <c r="H1162" s="160"/>
      <c r="I1162" s="160"/>
      <c r="J1162" s="160"/>
      <c r="K1162" s="160"/>
      <c r="L1162" s="160"/>
      <c r="M1162" s="160"/>
    </row>
    <row r="1163" spans="2:13">
      <c r="B1163" s="399"/>
      <c r="C1163" s="160"/>
      <c r="D1163" s="160"/>
      <c r="E1163" s="160"/>
      <c r="F1163" s="160"/>
      <c r="G1163" s="160"/>
      <c r="H1163" s="160"/>
      <c r="I1163" s="160"/>
      <c r="J1163" s="160"/>
      <c r="K1163" s="160"/>
      <c r="L1163" s="160"/>
      <c r="M1163" s="160"/>
    </row>
    <row r="1164" spans="2:13">
      <c r="B1164" s="399"/>
      <c r="C1164" s="160"/>
      <c r="D1164" s="160"/>
      <c r="E1164" s="160"/>
      <c r="F1164" s="160"/>
      <c r="G1164" s="160"/>
      <c r="H1164" s="160"/>
      <c r="I1164" s="160"/>
      <c r="J1164" s="160"/>
      <c r="K1164" s="160"/>
      <c r="L1164" s="160"/>
      <c r="M1164" s="160"/>
    </row>
    <row r="1165" spans="2:13">
      <c r="B1165" s="399"/>
      <c r="C1165" s="160"/>
      <c r="D1165" s="160"/>
      <c r="E1165" s="160"/>
      <c r="F1165" s="160"/>
      <c r="G1165" s="160"/>
      <c r="H1165" s="160"/>
      <c r="I1165" s="160"/>
      <c r="J1165" s="160"/>
      <c r="K1165" s="160"/>
      <c r="L1165" s="160"/>
      <c r="M1165" s="160"/>
    </row>
    <row r="1166" spans="2:13">
      <c r="B1166" s="399"/>
      <c r="C1166" s="160"/>
      <c r="D1166" s="160"/>
      <c r="E1166" s="160"/>
      <c r="F1166" s="160"/>
      <c r="G1166" s="160"/>
      <c r="H1166" s="160"/>
      <c r="I1166" s="160"/>
      <c r="J1166" s="160"/>
      <c r="K1166" s="160"/>
      <c r="L1166" s="160"/>
      <c r="M1166" s="160"/>
    </row>
    <row r="1167" spans="2:13">
      <c r="B1167" s="399"/>
      <c r="C1167" s="160"/>
      <c r="D1167" s="160"/>
      <c r="E1167" s="160"/>
      <c r="F1167" s="160"/>
      <c r="G1167" s="160"/>
      <c r="H1167" s="160"/>
      <c r="I1167" s="160"/>
      <c r="J1167" s="160"/>
      <c r="K1167" s="160"/>
      <c r="L1167" s="160"/>
      <c r="M1167" s="160"/>
    </row>
    <row r="1168" spans="2:13">
      <c r="B1168" s="399"/>
      <c r="C1168" s="160"/>
      <c r="D1168" s="160"/>
      <c r="E1168" s="160"/>
      <c r="F1168" s="160"/>
      <c r="G1168" s="160"/>
      <c r="H1168" s="160"/>
      <c r="I1168" s="160"/>
      <c r="J1168" s="160"/>
      <c r="K1168" s="160"/>
      <c r="L1168" s="160"/>
      <c r="M1168" s="160"/>
    </row>
    <row r="1169" spans="2:13">
      <c r="B1169" s="399"/>
      <c r="C1169" s="160"/>
      <c r="D1169" s="160"/>
      <c r="E1169" s="160"/>
      <c r="F1169" s="160"/>
      <c r="G1169" s="160"/>
      <c r="H1169" s="160"/>
      <c r="I1169" s="160"/>
      <c r="J1169" s="160"/>
      <c r="K1169" s="160"/>
      <c r="L1169" s="160"/>
      <c r="M1169" s="160"/>
    </row>
    <row r="1170" spans="2:13">
      <c r="B1170" s="399"/>
      <c r="C1170" s="160"/>
      <c r="D1170" s="160"/>
      <c r="E1170" s="160"/>
      <c r="F1170" s="160"/>
      <c r="G1170" s="160"/>
      <c r="H1170" s="160"/>
      <c r="I1170" s="160"/>
      <c r="J1170" s="160"/>
      <c r="K1170" s="160"/>
      <c r="L1170" s="160"/>
      <c r="M1170" s="160"/>
    </row>
    <row r="1171" spans="2:13">
      <c r="B1171" s="399"/>
      <c r="C1171" s="160"/>
      <c r="D1171" s="160"/>
      <c r="E1171" s="160"/>
      <c r="F1171" s="160"/>
      <c r="G1171" s="160"/>
      <c r="H1171" s="160"/>
      <c r="I1171" s="160"/>
      <c r="J1171" s="160"/>
      <c r="K1171" s="160"/>
      <c r="L1171" s="160"/>
      <c r="M1171" s="160"/>
    </row>
    <row r="1172" spans="2:13">
      <c r="B1172" s="399"/>
      <c r="C1172" s="160"/>
      <c r="D1172" s="160"/>
      <c r="E1172" s="160"/>
      <c r="F1172" s="160"/>
      <c r="G1172" s="160"/>
      <c r="H1172" s="160"/>
      <c r="I1172" s="160"/>
      <c r="J1172" s="160"/>
      <c r="K1172" s="160"/>
      <c r="L1172" s="160"/>
      <c r="M1172" s="160"/>
    </row>
    <row r="1173" spans="2:13">
      <c r="B1173" s="399"/>
      <c r="C1173" s="160"/>
      <c r="D1173" s="160"/>
      <c r="E1173" s="160"/>
      <c r="F1173" s="160"/>
      <c r="G1173" s="160"/>
      <c r="H1173" s="160"/>
      <c r="I1173" s="160"/>
      <c r="J1173" s="160"/>
      <c r="K1173" s="160"/>
      <c r="L1173" s="160"/>
      <c r="M1173" s="160"/>
    </row>
    <row r="1174" spans="2:13">
      <c r="B1174" s="399"/>
      <c r="C1174" s="160"/>
      <c r="D1174" s="160"/>
      <c r="E1174" s="160"/>
      <c r="F1174" s="160"/>
      <c r="G1174" s="160"/>
      <c r="H1174" s="160"/>
      <c r="I1174" s="160"/>
      <c r="J1174" s="160"/>
      <c r="K1174" s="160"/>
      <c r="L1174" s="160"/>
      <c r="M1174" s="160"/>
    </row>
    <row r="1175" spans="2:13">
      <c r="B1175" s="399"/>
      <c r="C1175" s="160"/>
      <c r="D1175" s="160"/>
      <c r="E1175" s="160"/>
      <c r="F1175" s="160"/>
      <c r="G1175" s="160"/>
      <c r="H1175" s="160"/>
      <c r="I1175" s="160"/>
      <c r="J1175" s="160"/>
      <c r="K1175" s="160"/>
      <c r="L1175" s="160"/>
      <c r="M1175" s="160"/>
    </row>
    <row r="1176" spans="2:13">
      <c r="B1176" s="399"/>
      <c r="C1176" s="160"/>
      <c r="D1176" s="160"/>
      <c r="E1176" s="160"/>
      <c r="F1176" s="160"/>
      <c r="G1176" s="160"/>
      <c r="H1176" s="160"/>
      <c r="I1176" s="160"/>
      <c r="J1176" s="160"/>
      <c r="K1176" s="160"/>
      <c r="L1176" s="160"/>
      <c r="M1176" s="160"/>
    </row>
    <row r="1177" spans="2:13">
      <c r="B1177" s="399"/>
      <c r="C1177" s="160"/>
      <c r="D1177" s="160"/>
      <c r="E1177" s="160"/>
      <c r="F1177" s="160"/>
      <c r="G1177" s="160"/>
      <c r="H1177" s="160"/>
      <c r="I1177" s="160"/>
      <c r="J1177" s="160"/>
      <c r="K1177" s="160"/>
      <c r="L1177" s="160"/>
      <c r="M1177" s="160"/>
    </row>
    <row r="1178" spans="2:13">
      <c r="B1178" s="399"/>
      <c r="C1178" s="160"/>
      <c r="D1178" s="160"/>
      <c r="E1178" s="160"/>
      <c r="F1178" s="160"/>
      <c r="G1178" s="160"/>
      <c r="H1178" s="160"/>
      <c r="I1178" s="160"/>
      <c r="J1178" s="160"/>
      <c r="K1178" s="160"/>
      <c r="L1178" s="160"/>
      <c r="M1178" s="160"/>
    </row>
    <row r="1179" spans="2:13">
      <c r="B1179" s="399"/>
      <c r="C1179" s="160"/>
      <c r="D1179" s="160"/>
      <c r="E1179" s="160"/>
      <c r="F1179" s="160"/>
      <c r="G1179" s="160"/>
      <c r="H1179" s="160"/>
      <c r="I1179" s="160"/>
      <c r="J1179" s="160"/>
      <c r="K1179" s="160"/>
      <c r="L1179" s="160"/>
      <c r="M1179" s="160"/>
    </row>
    <row r="1180" spans="2:13">
      <c r="B1180" s="399"/>
      <c r="C1180" s="160"/>
      <c r="D1180" s="160"/>
      <c r="E1180" s="160"/>
      <c r="F1180" s="160"/>
      <c r="G1180" s="160"/>
      <c r="H1180" s="160"/>
      <c r="I1180" s="160"/>
      <c r="J1180" s="160"/>
      <c r="K1180" s="160"/>
      <c r="L1180" s="160"/>
      <c r="M1180" s="160"/>
    </row>
    <row r="1181" spans="2:13">
      <c r="B1181" s="399"/>
      <c r="C1181" s="160"/>
      <c r="D1181" s="160"/>
      <c r="E1181" s="160"/>
      <c r="F1181" s="160"/>
      <c r="G1181" s="160"/>
      <c r="H1181" s="160"/>
      <c r="I1181" s="160"/>
      <c r="J1181" s="160"/>
      <c r="K1181" s="160"/>
      <c r="L1181" s="160"/>
      <c r="M1181" s="160"/>
    </row>
    <row r="1182" spans="2:13">
      <c r="B1182" s="399"/>
      <c r="C1182" s="160"/>
      <c r="D1182" s="160"/>
      <c r="E1182" s="160"/>
      <c r="F1182" s="160"/>
      <c r="G1182" s="160"/>
      <c r="H1182" s="160"/>
      <c r="I1182" s="160"/>
      <c r="J1182" s="160"/>
      <c r="K1182" s="160"/>
      <c r="L1182" s="160"/>
      <c r="M1182" s="160"/>
    </row>
    <row r="1183" spans="2:13">
      <c r="B1183" s="399"/>
      <c r="C1183" s="160"/>
      <c r="D1183" s="160"/>
      <c r="E1183" s="160"/>
      <c r="F1183" s="160"/>
      <c r="G1183" s="160"/>
      <c r="H1183" s="160"/>
      <c r="I1183" s="160"/>
      <c r="J1183" s="160"/>
      <c r="K1183" s="160"/>
      <c r="L1183" s="160"/>
      <c r="M1183" s="160"/>
    </row>
    <row r="1184" spans="2:13">
      <c r="B1184" s="399"/>
      <c r="C1184" s="160"/>
      <c r="D1184" s="160"/>
      <c r="E1184" s="160"/>
      <c r="F1184" s="160"/>
      <c r="G1184" s="160"/>
      <c r="H1184" s="160"/>
      <c r="I1184" s="160"/>
      <c r="J1184" s="160"/>
      <c r="K1184" s="160"/>
      <c r="L1184" s="160"/>
      <c r="M1184" s="160"/>
    </row>
    <row r="1185" spans="2:13">
      <c r="B1185" s="399"/>
      <c r="C1185" s="160"/>
      <c r="D1185" s="160"/>
      <c r="E1185" s="160"/>
      <c r="F1185" s="160"/>
      <c r="G1185" s="160"/>
      <c r="H1185" s="160"/>
      <c r="I1185" s="160"/>
      <c r="J1185" s="160"/>
      <c r="K1185" s="160"/>
      <c r="L1185" s="160"/>
      <c r="M1185" s="160"/>
    </row>
    <row r="1186" spans="2:13">
      <c r="B1186" s="399"/>
      <c r="C1186" s="160"/>
      <c r="D1186" s="160"/>
      <c r="E1186" s="160"/>
      <c r="F1186" s="160"/>
      <c r="G1186" s="160"/>
      <c r="H1186" s="160"/>
      <c r="I1186" s="160"/>
      <c r="J1186" s="160"/>
      <c r="K1186" s="160"/>
      <c r="L1186" s="160"/>
      <c r="M1186" s="160"/>
    </row>
    <row r="1187" spans="2:13">
      <c r="B1187" s="399"/>
      <c r="C1187" s="160"/>
      <c r="D1187" s="160"/>
      <c r="E1187" s="160"/>
      <c r="F1187" s="160"/>
      <c r="G1187" s="160"/>
      <c r="H1187" s="160"/>
      <c r="I1187" s="160"/>
      <c r="J1187" s="160"/>
      <c r="K1187" s="160"/>
      <c r="L1187" s="160"/>
      <c r="M1187" s="160"/>
    </row>
    <row r="1188" spans="2:13">
      <c r="B1188" s="399"/>
      <c r="C1188" s="160"/>
      <c r="D1188" s="160"/>
      <c r="E1188" s="160"/>
      <c r="F1188" s="160"/>
      <c r="G1188" s="160"/>
      <c r="H1188" s="160"/>
      <c r="I1188" s="160"/>
      <c r="J1188" s="160"/>
      <c r="K1188" s="160"/>
      <c r="L1188" s="160"/>
      <c r="M1188" s="160"/>
    </row>
    <row r="1189" spans="2:13">
      <c r="B1189" s="399"/>
      <c r="C1189" s="160"/>
      <c r="D1189" s="160"/>
      <c r="E1189" s="160"/>
      <c r="F1189" s="160"/>
      <c r="G1189" s="160"/>
      <c r="H1189" s="160"/>
      <c r="I1189" s="160"/>
      <c r="J1189" s="160"/>
      <c r="K1189" s="160"/>
      <c r="L1189" s="160"/>
      <c r="M1189" s="160"/>
    </row>
    <row r="1190" spans="2:13">
      <c r="B1190" s="399"/>
      <c r="C1190" s="160"/>
      <c r="D1190" s="160"/>
      <c r="E1190" s="160"/>
      <c r="F1190" s="160"/>
      <c r="G1190" s="160"/>
      <c r="H1190" s="160"/>
      <c r="I1190" s="160"/>
      <c r="J1190" s="160"/>
      <c r="K1190" s="160"/>
      <c r="L1190" s="160"/>
      <c r="M1190" s="160"/>
    </row>
    <row r="1191" spans="2:13">
      <c r="B1191" s="399"/>
      <c r="C1191" s="160"/>
      <c r="D1191" s="160"/>
      <c r="E1191" s="160"/>
      <c r="F1191" s="160"/>
      <c r="G1191" s="160"/>
      <c r="H1191" s="160"/>
      <c r="I1191" s="160"/>
      <c r="J1191" s="160"/>
      <c r="K1191" s="160"/>
      <c r="L1191" s="160"/>
      <c r="M1191" s="160"/>
    </row>
    <row r="1192" spans="2:13">
      <c r="B1192" s="399"/>
      <c r="C1192" s="160"/>
      <c r="D1192" s="160"/>
      <c r="E1192" s="160"/>
      <c r="F1192" s="160"/>
      <c r="G1192" s="160"/>
      <c r="H1192" s="160"/>
      <c r="I1192" s="160"/>
      <c r="J1192" s="160"/>
      <c r="K1192" s="160"/>
      <c r="L1192" s="160"/>
      <c r="M1192" s="160"/>
    </row>
    <row r="1193" spans="2:13">
      <c r="B1193" s="399"/>
      <c r="C1193" s="160"/>
      <c r="D1193" s="160"/>
      <c r="E1193" s="160"/>
      <c r="F1193" s="160"/>
      <c r="G1193" s="160"/>
      <c r="H1193" s="160"/>
      <c r="I1193" s="160"/>
      <c r="J1193" s="160"/>
      <c r="K1193" s="160"/>
      <c r="L1193" s="160"/>
      <c r="M1193" s="160"/>
    </row>
    <row r="1194" spans="2:13">
      <c r="B1194" s="399"/>
      <c r="C1194" s="160"/>
      <c r="D1194" s="160"/>
      <c r="E1194" s="160"/>
      <c r="F1194" s="160"/>
      <c r="G1194" s="160"/>
      <c r="H1194" s="160"/>
      <c r="I1194" s="160"/>
      <c r="J1194" s="160"/>
      <c r="K1194" s="160"/>
      <c r="L1194" s="160"/>
      <c r="M1194" s="160"/>
    </row>
    <row r="1195" spans="2:13">
      <c r="B1195" s="399"/>
      <c r="C1195" s="160"/>
      <c r="D1195" s="160"/>
      <c r="E1195" s="160"/>
      <c r="F1195" s="160"/>
      <c r="G1195" s="160"/>
      <c r="H1195" s="160"/>
      <c r="I1195" s="160"/>
      <c r="J1195" s="160"/>
      <c r="K1195" s="160"/>
      <c r="L1195" s="160"/>
      <c r="M1195" s="160"/>
    </row>
    <row r="1196" spans="2:13">
      <c r="B1196" s="399"/>
      <c r="C1196" s="160"/>
      <c r="D1196" s="160"/>
      <c r="E1196" s="160"/>
      <c r="F1196" s="160"/>
      <c r="G1196" s="160"/>
      <c r="H1196" s="160"/>
      <c r="I1196" s="160"/>
      <c r="J1196" s="160"/>
      <c r="K1196" s="160"/>
      <c r="L1196" s="160"/>
      <c r="M1196" s="160"/>
    </row>
    <row r="1197" spans="2:13">
      <c r="B1197" s="399"/>
      <c r="C1197" s="160"/>
      <c r="D1197" s="160"/>
      <c r="E1197" s="160"/>
      <c r="F1197" s="160"/>
      <c r="G1197" s="160"/>
      <c r="H1197" s="160"/>
      <c r="I1197" s="160"/>
      <c r="J1197" s="160"/>
      <c r="K1197" s="160"/>
      <c r="L1197" s="160"/>
      <c r="M1197" s="160"/>
    </row>
    <row r="1198" spans="2:13">
      <c r="B1198" s="399"/>
      <c r="C1198" s="160"/>
      <c r="D1198" s="160"/>
      <c r="E1198" s="160"/>
      <c r="F1198" s="160"/>
      <c r="G1198" s="160"/>
      <c r="H1198" s="160"/>
      <c r="I1198" s="160"/>
      <c r="J1198" s="160"/>
      <c r="K1198" s="160"/>
      <c r="L1198" s="160"/>
      <c r="M1198" s="160"/>
    </row>
    <row r="1199" spans="2:13">
      <c r="B1199" s="399"/>
      <c r="C1199" s="160"/>
      <c r="D1199" s="160"/>
      <c r="E1199" s="160"/>
      <c r="F1199" s="160"/>
      <c r="G1199" s="160"/>
      <c r="H1199" s="160"/>
      <c r="I1199" s="160"/>
      <c r="J1199" s="160"/>
      <c r="K1199" s="160"/>
      <c r="L1199" s="160"/>
      <c r="M1199" s="160"/>
    </row>
    <row r="1200" spans="2:13">
      <c r="B1200" s="399"/>
      <c r="C1200" s="160"/>
      <c r="D1200" s="160"/>
      <c r="E1200" s="160"/>
      <c r="F1200" s="160"/>
      <c r="G1200" s="160"/>
      <c r="H1200" s="160"/>
      <c r="I1200" s="160"/>
      <c r="J1200" s="160"/>
      <c r="K1200" s="160"/>
      <c r="L1200" s="160"/>
      <c r="M1200" s="160"/>
    </row>
    <row r="1201" spans="2:13">
      <c r="B1201" s="399"/>
      <c r="C1201" s="160"/>
      <c r="D1201" s="160"/>
      <c r="E1201" s="160"/>
      <c r="F1201" s="160"/>
      <c r="G1201" s="160"/>
      <c r="H1201" s="160"/>
      <c r="I1201" s="160"/>
      <c r="J1201" s="160"/>
      <c r="K1201" s="160"/>
      <c r="L1201" s="160"/>
      <c r="M1201" s="160"/>
    </row>
    <row r="1202" spans="2:13">
      <c r="B1202" s="399"/>
      <c r="C1202" s="160"/>
      <c r="D1202" s="160"/>
      <c r="E1202" s="160"/>
      <c r="F1202" s="160"/>
      <c r="G1202" s="160"/>
      <c r="H1202" s="160"/>
      <c r="I1202" s="160"/>
      <c r="J1202" s="160"/>
      <c r="K1202" s="160"/>
      <c r="L1202" s="160"/>
      <c r="M1202" s="160"/>
    </row>
    <row r="1203" spans="2:13">
      <c r="B1203" s="399"/>
      <c r="C1203" s="160"/>
      <c r="D1203" s="160"/>
      <c r="E1203" s="160"/>
      <c r="F1203" s="160"/>
      <c r="G1203" s="160"/>
      <c r="H1203" s="160"/>
      <c r="I1203" s="160"/>
      <c r="J1203" s="160"/>
      <c r="K1203" s="160"/>
      <c r="L1203" s="160"/>
      <c r="M1203" s="160"/>
    </row>
    <row r="1204" spans="2:13">
      <c r="B1204" s="399"/>
      <c r="C1204" s="160"/>
      <c r="D1204" s="160"/>
      <c r="E1204" s="160"/>
      <c r="F1204" s="160"/>
      <c r="G1204" s="160"/>
      <c r="H1204" s="160"/>
      <c r="I1204" s="160"/>
      <c r="J1204" s="160"/>
      <c r="K1204" s="160"/>
      <c r="L1204" s="160"/>
      <c r="M1204" s="160"/>
    </row>
    <row r="1205" spans="2:13">
      <c r="B1205" s="399"/>
      <c r="C1205" s="160"/>
      <c r="D1205" s="160"/>
      <c r="E1205" s="160"/>
      <c r="F1205" s="160"/>
      <c r="G1205" s="160"/>
      <c r="H1205" s="160"/>
      <c r="I1205" s="160"/>
      <c r="J1205" s="160"/>
      <c r="K1205" s="160"/>
      <c r="L1205" s="160"/>
      <c r="M1205" s="160"/>
    </row>
    <row r="1206" spans="2:13">
      <c r="B1206" s="399"/>
      <c r="C1206" s="160"/>
      <c r="D1206" s="160"/>
      <c r="E1206" s="160"/>
      <c r="F1206" s="160"/>
      <c r="G1206" s="160"/>
      <c r="H1206" s="160"/>
      <c r="I1206" s="160"/>
      <c r="J1206" s="160"/>
      <c r="K1206" s="160"/>
      <c r="L1206" s="160"/>
      <c r="M1206" s="160"/>
    </row>
    <row r="1207" spans="2:13">
      <c r="B1207" s="399"/>
      <c r="C1207" s="160"/>
      <c r="D1207" s="160"/>
      <c r="E1207" s="160"/>
      <c r="F1207" s="160"/>
      <c r="G1207" s="160"/>
      <c r="H1207" s="160"/>
      <c r="I1207" s="160"/>
      <c r="J1207" s="160"/>
      <c r="K1207" s="160"/>
      <c r="L1207" s="160"/>
      <c r="M1207" s="160"/>
    </row>
    <row r="1208" spans="2:13">
      <c r="B1208" s="399"/>
      <c r="C1208" s="160"/>
      <c r="D1208" s="160"/>
      <c r="E1208" s="160"/>
      <c r="F1208" s="160"/>
      <c r="G1208" s="160"/>
      <c r="H1208" s="160"/>
      <c r="I1208" s="160"/>
      <c r="J1208" s="160"/>
      <c r="K1208" s="160"/>
      <c r="L1208" s="160"/>
      <c r="M1208" s="160"/>
    </row>
    <row r="1209" spans="2:13">
      <c r="B1209" s="399"/>
      <c r="C1209" s="160"/>
      <c r="D1209" s="160"/>
      <c r="E1209" s="160"/>
      <c r="F1209" s="160"/>
      <c r="G1209" s="160"/>
      <c r="H1209" s="160"/>
      <c r="I1209" s="160"/>
      <c r="J1209" s="160"/>
      <c r="K1209" s="160"/>
      <c r="L1209" s="160"/>
      <c r="M1209" s="160"/>
    </row>
    <row r="1210" spans="2:13">
      <c r="B1210" s="399"/>
      <c r="C1210" s="160"/>
      <c r="D1210" s="160"/>
      <c r="E1210" s="160"/>
      <c r="F1210" s="160"/>
      <c r="G1210" s="160"/>
      <c r="H1210" s="160"/>
      <c r="I1210" s="160"/>
      <c r="J1210" s="160"/>
      <c r="K1210" s="160"/>
      <c r="L1210" s="160"/>
      <c r="M1210" s="160"/>
    </row>
    <row r="1211" spans="2:13">
      <c r="B1211" s="399"/>
      <c r="C1211" s="160"/>
      <c r="D1211" s="160"/>
      <c r="E1211" s="160"/>
      <c r="F1211" s="160"/>
      <c r="G1211" s="160"/>
      <c r="H1211" s="160"/>
      <c r="I1211" s="160"/>
      <c r="J1211" s="160"/>
      <c r="K1211" s="160"/>
      <c r="L1211" s="160"/>
      <c r="M1211" s="160"/>
    </row>
    <row r="1212" spans="2:13">
      <c r="B1212" s="399"/>
      <c r="C1212" s="160"/>
      <c r="D1212" s="160"/>
      <c r="E1212" s="160"/>
      <c r="F1212" s="160"/>
      <c r="G1212" s="160"/>
      <c r="H1212" s="160"/>
      <c r="I1212" s="160"/>
      <c r="J1212" s="160"/>
      <c r="K1212" s="160"/>
      <c r="L1212" s="160"/>
      <c r="M1212" s="160"/>
    </row>
    <row r="1213" spans="2:13">
      <c r="B1213" s="399"/>
      <c r="C1213" s="160"/>
      <c r="D1213" s="160"/>
      <c r="E1213" s="160"/>
      <c r="F1213" s="160"/>
      <c r="G1213" s="160"/>
      <c r="H1213" s="160"/>
      <c r="I1213" s="160"/>
      <c r="J1213" s="160"/>
      <c r="K1213" s="160"/>
      <c r="L1213" s="160"/>
      <c r="M1213" s="160"/>
    </row>
    <row r="1214" spans="2:13">
      <c r="B1214" s="399"/>
      <c r="C1214" s="160"/>
      <c r="D1214" s="160"/>
      <c r="E1214" s="160"/>
      <c r="F1214" s="160"/>
      <c r="G1214" s="160"/>
      <c r="H1214" s="160"/>
      <c r="I1214" s="160"/>
      <c r="J1214" s="160"/>
      <c r="K1214" s="160"/>
      <c r="L1214" s="160"/>
      <c r="M1214" s="160"/>
    </row>
    <row r="1215" spans="2:13">
      <c r="B1215" s="399"/>
      <c r="C1215" s="160"/>
      <c r="D1215" s="160"/>
      <c r="E1215" s="160"/>
      <c r="F1215" s="160"/>
      <c r="G1215" s="160"/>
      <c r="H1215" s="160"/>
      <c r="I1215" s="160"/>
      <c r="J1215" s="160"/>
      <c r="K1215" s="160"/>
      <c r="L1215" s="160"/>
      <c r="M1215" s="160"/>
    </row>
    <row r="1216" spans="2:13">
      <c r="B1216" s="399"/>
      <c r="C1216" s="160"/>
      <c r="D1216" s="160"/>
      <c r="E1216" s="160"/>
      <c r="F1216" s="160"/>
      <c r="G1216" s="160"/>
      <c r="H1216" s="160"/>
      <c r="I1216" s="160"/>
      <c r="J1216" s="160"/>
      <c r="K1216" s="160"/>
      <c r="L1216" s="160"/>
      <c r="M1216" s="160"/>
    </row>
    <row r="1217" spans="2:13">
      <c r="B1217" s="399"/>
      <c r="C1217" s="160"/>
      <c r="D1217" s="160"/>
      <c r="E1217" s="160"/>
      <c r="F1217" s="160"/>
      <c r="G1217" s="160"/>
      <c r="H1217" s="160"/>
      <c r="I1217" s="160"/>
      <c r="J1217" s="160"/>
      <c r="K1217" s="160"/>
      <c r="L1217" s="160"/>
      <c r="M1217" s="160"/>
    </row>
    <row r="1218" spans="2:13">
      <c r="B1218" s="399"/>
      <c r="C1218" s="160"/>
      <c r="D1218" s="160"/>
      <c r="E1218" s="160"/>
      <c r="F1218" s="160"/>
      <c r="G1218" s="160"/>
      <c r="H1218" s="160"/>
      <c r="I1218" s="160"/>
      <c r="J1218" s="160"/>
      <c r="K1218" s="160"/>
      <c r="L1218" s="160"/>
      <c r="M1218" s="160"/>
    </row>
    <row r="1219" spans="2:13">
      <c r="B1219" s="399"/>
      <c r="C1219" s="160"/>
      <c r="D1219" s="160"/>
      <c r="E1219" s="160"/>
      <c r="F1219" s="160"/>
      <c r="G1219" s="160"/>
      <c r="H1219" s="160"/>
      <c r="I1219" s="160"/>
      <c r="J1219" s="160"/>
      <c r="K1219" s="160"/>
      <c r="L1219" s="160"/>
      <c r="M1219" s="160"/>
    </row>
    <row r="1220" spans="2:13">
      <c r="B1220" s="399"/>
      <c r="C1220" s="160"/>
      <c r="D1220" s="160"/>
      <c r="E1220" s="160"/>
      <c r="F1220" s="160"/>
      <c r="G1220" s="160"/>
      <c r="H1220" s="160"/>
      <c r="I1220" s="160"/>
      <c r="J1220" s="160"/>
      <c r="K1220" s="160"/>
      <c r="L1220" s="160"/>
      <c r="M1220" s="160"/>
    </row>
    <row r="1221" spans="2:13">
      <c r="B1221" s="399"/>
      <c r="C1221" s="160"/>
      <c r="D1221" s="160"/>
      <c r="E1221" s="160"/>
      <c r="F1221" s="160"/>
      <c r="G1221" s="160"/>
      <c r="H1221" s="160"/>
      <c r="I1221" s="160"/>
      <c r="J1221" s="160"/>
      <c r="K1221" s="160"/>
      <c r="L1221" s="160"/>
      <c r="M1221" s="160"/>
    </row>
    <row r="1222" spans="2:13">
      <c r="B1222" s="399"/>
      <c r="C1222" s="160"/>
      <c r="D1222" s="160"/>
      <c r="E1222" s="160"/>
      <c r="F1222" s="160"/>
      <c r="G1222" s="160"/>
      <c r="H1222" s="160"/>
      <c r="I1222" s="160"/>
      <c r="J1222" s="160"/>
      <c r="K1222" s="160"/>
      <c r="L1222" s="160"/>
      <c r="M1222" s="160"/>
    </row>
    <row r="1223" spans="2:13">
      <c r="B1223" s="399"/>
      <c r="C1223" s="160"/>
      <c r="D1223" s="160"/>
      <c r="E1223" s="160"/>
      <c r="F1223" s="160"/>
      <c r="G1223" s="160"/>
      <c r="H1223" s="160"/>
      <c r="I1223" s="160"/>
      <c r="J1223" s="160"/>
      <c r="K1223" s="160"/>
      <c r="L1223" s="160"/>
      <c r="M1223" s="160"/>
    </row>
    <row r="1224" spans="2:13">
      <c r="B1224" s="399"/>
      <c r="C1224" s="160"/>
      <c r="D1224" s="160"/>
      <c r="E1224" s="160"/>
      <c r="F1224" s="160"/>
      <c r="G1224" s="160"/>
      <c r="H1224" s="160"/>
      <c r="I1224" s="160"/>
      <c r="J1224" s="160"/>
      <c r="K1224" s="160"/>
      <c r="L1224" s="160"/>
      <c r="M1224" s="160"/>
    </row>
    <row r="1225" spans="2:13">
      <c r="B1225" s="399"/>
      <c r="C1225" s="160"/>
      <c r="D1225" s="160"/>
      <c r="E1225" s="160"/>
      <c r="F1225" s="160"/>
      <c r="G1225" s="160"/>
      <c r="H1225" s="160"/>
      <c r="I1225" s="160"/>
      <c r="J1225" s="160"/>
      <c r="K1225" s="160"/>
      <c r="L1225" s="160"/>
      <c r="M1225" s="160"/>
    </row>
    <row r="1226" spans="2:13">
      <c r="B1226" s="399"/>
      <c r="C1226" s="160"/>
      <c r="D1226" s="160"/>
      <c r="E1226" s="160"/>
      <c r="F1226" s="160"/>
      <c r="G1226" s="160"/>
      <c r="H1226" s="160"/>
      <c r="I1226" s="160"/>
      <c r="J1226" s="160"/>
      <c r="K1226" s="160"/>
      <c r="L1226" s="160"/>
      <c r="M1226" s="160"/>
    </row>
    <row r="1227" spans="2:13">
      <c r="B1227" s="399"/>
      <c r="C1227" s="160"/>
      <c r="D1227" s="160"/>
      <c r="E1227" s="160"/>
      <c r="F1227" s="160"/>
      <c r="G1227" s="160"/>
      <c r="H1227" s="160"/>
      <c r="I1227" s="160"/>
      <c r="J1227" s="160"/>
      <c r="K1227" s="160"/>
      <c r="L1227" s="160"/>
      <c r="M1227" s="160"/>
    </row>
    <row r="1228" spans="2:13">
      <c r="I1228" s="160"/>
      <c r="J1228" s="160"/>
    </row>
  </sheetData>
  <mergeCells count="23">
    <mergeCell ref="G250:H250"/>
    <mergeCell ref="G231:H231"/>
    <mergeCell ref="D282:K283"/>
    <mergeCell ref="D351:J351"/>
    <mergeCell ref="B21:I22"/>
    <mergeCell ref="I57:J57"/>
    <mergeCell ref="I60:J60"/>
    <mergeCell ref="I121:J121"/>
    <mergeCell ref="I124:J124"/>
    <mergeCell ref="D39:L39"/>
    <mergeCell ref="D368:K369"/>
    <mergeCell ref="D366:K366"/>
    <mergeCell ref="D358:J358"/>
    <mergeCell ref="D306:K308"/>
    <mergeCell ref="D323:K323"/>
    <mergeCell ref="D310:K312"/>
    <mergeCell ref="D360:J360"/>
    <mergeCell ref="D313:J314"/>
    <mergeCell ref="D330:L332"/>
    <mergeCell ref="D319:J321"/>
    <mergeCell ref="D364:K364"/>
    <mergeCell ref="D344:J344"/>
    <mergeCell ref="D352:J354"/>
  </mergeCells>
  <phoneticPr fontId="0" type="noConversion"/>
  <pageMargins left="0.26" right="1.28" top="1" bottom="1" header="0.86" footer="0.5"/>
  <pageSetup scale="34" fitToHeight="5" orientation="portrait" r:id="rId1"/>
  <headerFooter alignWithMargins="0">
    <oddHeader>&amp;R&amp;"Arial,Bold"Formula Rate 
&amp;A
Page &amp;P of &amp;N</oddHeader>
  </headerFooter>
  <rowBreaks count="4" manualBreakCount="4">
    <brk id="48" max="11" man="1"/>
    <brk id="113" max="11" man="1"/>
    <brk id="192" max="11" man="1"/>
    <brk id="256" max="11"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L90"/>
  <sheetViews>
    <sheetView zoomScale="90" zoomScaleNormal="90" zoomScaleSheetLayoutView="70" workbookViewId="0">
      <selection activeCell="F32" sqref="F32"/>
    </sheetView>
  </sheetViews>
  <sheetFormatPr defaultColWidth="11.42578125" defaultRowHeight="12.75"/>
  <cols>
    <col min="1" max="1" width="10.28515625" style="1126" customWidth="1"/>
    <col min="2" max="2" width="52.42578125" style="1077" customWidth="1"/>
    <col min="3" max="3" width="26.7109375" style="1077" bestFit="1" customWidth="1"/>
    <col min="4" max="4" width="25" style="1077" customWidth="1"/>
    <col min="5" max="11" width="20.28515625" style="1077" customWidth="1"/>
    <col min="12" max="12" width="20" style="1077" customWidth="1"/>
    <col min="13" max="14" width="15.140625" style="1077" customWidth="1"/>
    <col min="15" max="16384" width="11.42578125" style="1077"/>
  </cols>
  <sheetData>
    <row r="1" spans="1:12" ht="15">
      <c r="A1" s="1481" t="str">
        <f>TCOS!F5</f>
        <v>AEPTCo subsidiaries in PJM</v>
      </c>
      <c r="B1" s="1481" t="s">
        <v>321</v>
      </c>
      <c r="C1" s="1481" t="s">
        <v>321</v>
      </c>
      <c r="D1" s="1481" t="s">
        <v>321</v>
      </c>
      <c r="E1" s="1481" t="s">
        <v>321</v>
      </c>
      <c r="F1" s="1481" t="s">
        <v>321</v>
      </c>
      <c r="G1" s="1481" t="s">
        <v>321</v>
      </c>
      <c r="H1" s="1076"/>
      <c r="I1" s="1076"/>
    </row>
    <row r="2" spans="1:12" ht="15">
      <c r="A2" s="1482" t="str">
        <f>"Cost of Service Formula Rate Using Actual/Projected FF1 Balances"</f>
        <v>Cost of Service Formula Rate Using Actual/Projected FF1 Balances</v>
      </c>
      <c r="B2" s="1482"/>
      <c r="C2" s="1482"/>
      <c r="D2" s="1482"/>
      <c r="E2" s="1482"/>
      <c r="F2" s="1482"/>
      <c r="G2" s="1482"/>
      <c r="H2" s="1076"/>
      <c r="I2" s="1076"/>
      <c r="J2" s="1076"/>
      <c r="L2" s="1078"/>
    </row>
    <row r="3" spans="1:12" ht="15">
      <c r="A3" s="1482" t="s">
        <v>699</v>
      </c>
      <c r="B3" s="1482"/>
      <c r="C3" s="1482"/>
      <c r="D3" s="1482"/>
      <c r="E3" s="1482"/>
      <c r="F3" s="1482"/>
      <c r="G3" s="1482"/>
      <c r="H3" s="1076"/>
      <c r="I3" s="1076"/>
      <c r="J3" s="1076"/>
    </row>
    <row r="4" spans="1:12" ht="15">
      <c r="A4" s="1488" t="str">
        <f>TCOS!F9</f>
        <v>AEP Appalachian Transmission Company</v>
      </c>
      <c r="B4" s="1488"/>
      <c r="C4" s="1488"/>
      <c r="D4" s="1488"/>
      <c r="E4" s="1488"/>
      <c r="F4" s="1488"/>
      <c r="G4" s="1488"/>
      <c r="H4" s="1076"/>
      <c r="I4" s="1076"/>
      <c r="J4" s="1076"/>
    </row>
    <row r="5" spans="1:12">
      <c r="A5" s="1076"/>
      <c r="B5" s="1079"/>
      <c r="C5" s="1079"/>
      <c r="D5" s="1079"/>
      <c r="E5" s="1080"/>
      <c r="F5" s="1081"/>
      <c r="H5" s="1081"/>
      <c r="J5" s="1081"/>
      <c r="L5" s="1081"/>
    </row>
    <row r="6" spans="1:12" ht="12.75" customHeight="1">
      <c r="A6" s="1076"/>
      <c r="B6" s="1079"/>
      <c r="C6" s="1483" t="s">
        <v>700</v>
      </c>
      <c r="D6" s="1484"/>
      <c r="E6" s="1484"/>
      <c r="F6" s="1484"/>
      <c r="G6" s="1485"/>
      <c r="H6" s="1082"/>
      <c r="I6" s="1082"/>
      <c r="J6" s="1082"/>
      <c r="K6" s="1082"/>
      <c r="L6" s="4"/>
    </row>
    <row r="7" spans="1:12" s="1087" customFormat="1" ht="25.5">
      <c r="A7" s="1083" t="s">
        <v>701</v>
      </c>
      <c r="B7" s="1084" t="s">
        <v>702</v>
      </c>
      <c r="C7" s="1085" t="s">
        <v>407</v>
      </c>
      <c r="D7" s="1085" t="s">
        <v>703</v>
      </c>
      <c r="E7" s="1085" t="s">
        <v>128</v>
      </c>
      <c r="F7" s="1085" t="s">
        <v>704</v>
      </c>
      <c r="G7" s="1084" t="s">
        <v>705</v>
      </c>
      <c r="H7" s="7"/>
      <c r="I7" s="1086"/>
      <c r="J7" s="1086"/>
      <c r="K7" s="1086"/>
      <c r="L7" s="4"/>
    </row>
    <row r="8" spans="1:12" s="1092" customFormat="1">
      <c r="A8" s="1088"/>
      <c r="B8" s="1089" t="s">
        <v>706</v>
      </c>
      <c r="C8" s="1090" t="s">
        <v>707</v>
      </c>
      <c r="D8" s="1090" t="s">
        <v>708</v>
      </c>
      <c r="E8" s="1090" t="s">
        <v>709</v>
      </c>
      <c r="F8" s="1090" t="s">
        <v>710</v>
      </c>
      <c r="G8" s="1091" t="s">
        <v>711</v>
      </c>
      <c r="H8"/>
      <c r="L8" s="4"/>
    </row>
    <row r="9" spans="1:12" s="1092" customFormat="1" ht="44.25" customHeight="1">
      <c r="A9" s="1088"/>
      <c r="B9" s="1089" t="s">
        <v>712</v>
      </c>
      <c r="C9" s="1093" t="s">
        <v>223</v>
      </c>
      <c r="D9" s="1093" t="s">
        <v>224</v>
      </c>
      <c r="E9" s="1093" t="s">
        <v>225</v>
      </c>
      <c r="F9" s="1093" t="s">
        <v>226</v>
      </c>
      <c r="G9" s="1094" t="s">
        <v>227</v>
      </c>
      <c r="H9"/>
      <c r="L9" s="4"/>
    </row>
    <row r="10" spans="1:12">
      <c r="A10" s="1088">
        <v>1</v>
      </c>
      <c r="B10" s="1095" t="s">
        <v>713</v>
      </c>
      <c r="C10" s="1443">
        <v>148934537.957609</v>
      </c>
      <c r="D10" s="1449"/>
      <c r="E10" s="1446">
        <v>703875.31239978399</v>
      </c>
      <c r="F10" s="1449"/>
      <c r="G10" s="1411">
        <v>1608984.3149409201</v>
      </c>
      <c r="H10"/>
      <c r="L10" s="4"/>
    </row>
    <row r="11" spans="1:12">
      <c r="A11" s="1088">
        <f>+A10+1</f>
        <v>2</v>
      </c>
      <c r="B11" s="1095" t="s">
        <v>566</v>
      </c>
      <c r="C11" s="1444">
        <v>149471775.68994701</v>
      </c>
      <c r="D11" s="1450"/>
      <c r="E11" s="1447">
        <v>712325.59068110702</v>
      </c>
      <c r="F11" s="1450"/>
      <c r="G11" s="1412">
        <v>1631564.24553537</v>
      </c>
      <c r="H11"/>
      <c r="L11" s="4"/>
    </row>
    <row r="12" spans="1:12">
      <c r="A12" s="1088">
        <f t="shared" ref="A12:A23" si="0">+A11+1</f>
        <v>3</v>
      </c>
      <c r="B12" s="1097" t="s">
        <v>567</v>
      </c>
      <c r="C12" s="1444">
        <v>149619512.350297</v>
      </c>
      <c r="D12" s="1450"/>
      <c r="E12" s="1447">
        <v>725358.30143490108</v>
      </c>
      <c r="F12" s="1450"/>
      <c r="G12" s="1412">
        <v>1659229.41930914</v>
      </c>
      <c r="H12"/>
      <c r="L12" s="4"/>
    </row>
    <row r="13" spans="1:12">
      <c r="A13" s="1088">
        <f t="shared" si="0"/>
        <v>4</v>
      </c>
      <c r="B13" s="1097" t="s">
        <v>714</v>
      </c>
      <c r="C13" s="1444">
        <v>149853093.73778701</v>
      </c>
      <c r="D13" s="1450"/>
      <c r="E13" s="1447">
        <v>741753.706083411</v>
      </c>
      <c r="F13" s="1450"/>
      <c r="G13" s="1412">
        <v>1689748.9750188799</v>
      </c>
      <c r="H13"/>
      <c r="L13" s="4"/>
    </row>
    <row r="14" spans="1:12">
      <c r="A14" s="1088">
        <f t="shared" si="0"/>
        <v>5</v>
      </c>
      <c r="B14" s="1097" t="s">
        <v>569</v>
      </c>
      <c r="C14" s="1444">
        <v>150426860.52276</v>
      </c>
      <c r="D14" s="1450"/>
      <c r="E14" s="1447">
        <v>752869.23246853997</v>
      </c>
      <c r="F14" s="1450"/>
      <c r="G14" s="1412">
        <v>1710414.9508992</v>
      </c>
      <c r="H14"/>
      <c r="L14" s="4"/>
    </row>
    <row r="15" spans="1:12">
      <c r="A15" s="1088">
        <f t="shared" si="0"/>
        <v>6</v>
      </c>
      <c r="B15" s="1097" t="s">
        <v>570</v>
      </c>
      <c r="C15" s="1444">
        <v>150689910.07407498</v>
      </c>
      <c r="D15" s="1450"/>
      <c r="E15" s="1447">
        <v>762463.70426761999</v>
      </c>
      <c r="F15" s="1450"/>
      <c r="G15" s="1412">
        <v>1728577.5407147501</v>
      </c>
      <c r="H15"/>
      <c r="L15" s="4"/>
    </row>
    <row r="16" spans="1:12">
      <c r="A16" s="1088">
        <f t="shared" si="0"/>
        <v>7</v>
      </c>
      <c r="B16" s="1097" t="s">
        <v>571</v>
      </c>
      <c r="C16" s="1444">
        <v>150792096.56869599</v>
      </c>
      <c r="D16" s="1450"/>
      <c r="E16" s="1447">
        <v>771752.22820525803</v>
      </c>
      <c r="F16" s="1450"/>
      <c r="G16" s="1412">
        <v>1745895.4349210302</v>
      </c>
      <c r="H16"/>
      <c r="L16" s="4"/>
    </row>
    <row r="17" spans="1:12">
      <c r="A17" s="1088">
        <f t="shared" si="0"/>
        <v>8</v>
      </c>
      <c r="B17" s="1097" t="s">
        <v>572</v>
      </c>
      <c r="C17" s="1444">
        <v>150845413.208505</v>
      </c>
      <c r="D17" s="1450"/>
      <c r="E17" s="1447">
        <v>781740.80954286002</v>
      </c>
      <c r="F17" s="1450"/>
      <c r="G17" s="1412">
        <v>1765451.38377127</v>
      </c>
      <c r="H17"/>
      <c r="L17" s="4"/>
    </row>
    <row r="18" spans="1:12">
      <c r="A18" s="1088">
        <f t="shared" si="0"/>
        <v>9</v>
      </c>
      <c r="B18" s="1097" t="s">
        <v>715</v>
      </c>
      <c r="C18" s="1444">
        <v>150909105.89275599</v>
      </c>
      <c r="D18" s="1450"/>
      <c r="E18" s="1447">
        <v>792416.38457299094</v>
      </c>
      <c r="F18" s="1450"/>
      <c r="G18" s="1412">
        <v>1786358.8919544099</v>
      </c>
      <c r="H18"/>
      <c r="L18" s="4"/>
    </row>
    <row r="19" spans="1:12">
      <c r="A19" s="1088">
        <f t="shared" si="0"/>
        <v>10</v>
      </c>
      <c r="B19" s="1097" t="s">
        <v>574</v>
      </c>
      <c r="C19" s="1444">
        <v>150982408.06220299</v>
      </c>
      <c r="D19" s="1450"/>
      <c r="E19" s="1447">
        <v>803842.63447498402</v>
      </c>
      <c r="F19" s="1450"/>
      <c r="G19" s="1412">
        <v>1808775.38464175</v>
      </c>
      <c r="H19"/>
      <c r="L19" s="4"/>
    </row>
    <row r="20" spans="1:12">
      <c r="A20" s="1088">
        <f t="shared" si="0"/>
        <v>11</v>
      </c>
      <c r="B20" s="1097" t="s">
        <v>575</v>
      </c>
      <c r="C20" s="1444">
        <v>152994168.63059899</v>
      </c>
      <c r="D20" s="1450"/>
      <c r="E20" s="1447">
        <v>816175.613675136</v>
      </c>
      <c r="F20" s="1450"/>
      <c r="G20" s="1412">
        <v>1832686.12664564</v>
      </c>
      <c r="H20"/>
      <c r="L20" s="4"/>
    </row>
    <row r="21" spans="1:12">
      <c r="A21" s="1088">
        <f t="shared" si="0"/>
        <v>12</v>
      </c>
      <c r="B21" s="1097" t="s">
        <v>576</v>
      </c>
      <c r="C21" s="1444">
        <v>153256083.73714098</v>
      </c>
      <c r="D21" s="1450"/>
      <c r="E21" s="1447">
        <v>829006.64904938499</v>
      </c>
      <c r="F21" s="1450"/>
      <c r="G21" s="1412">
        <v>1857138.7363861098</v>
      </c>
      <c r="H21"/>
      <c r="L21" s="4"/>
    </row>
    <row r="22" spans="1:12">
      <c r="A22" s="1098">
        <f t="shared" si="0"/>
        <v>13</v>
      </c>
      <c r="B22" s="1099" t="s">
        <v>716</v>
      </c>
      <c r="C22" s="1445">
        <v>153480322.199783</v>
      </c>
      <c r="D22" s="1451"/>
      <c r="E22" s="1448">
        <v>842867.61683365598</v>
      </c>
      <c r="F22" s="1451"/>
      <c r="G22" s="1452">
        <v>1886265.89824994</v>
      </c>
      <c r="H22"/>
      <c r="L22" s="4"/>
    </row>
    <row r="23" spans="1:12" ht="13.5" thickBot="1">
      <c r="A23" s="1098">
        <f t="shared" si="0"/>
        <v>14</v>
      </c>
      <c r="B23" s="1100" t="s">
        <v>717</v>
      </c>
      <c r="C23" s="1101">
        <f>SUM(C10:C22)/13</f>
        <v>150942714.51016599</v>
      </c>
      <c r="D23" s="1101">
        <f t="shared" ref="D23:G23" si="1">SUM(D10:D22)/13</f>
        <v>0</v>
      </c>
      <c r="E23" s="1101">
        <f t="shared" si="1"/>
        <v>772034.44489920256</v>
      </c>
      <c r="F23" s="1101">
        <f t="shared" si="1"/>
        <v>0</v>
      </c>
      <c r="G23" s="1101">
        <f t="shared" si="1"/>
        <v>1747007.0233068008</v>
      </c>
      <c r="H23" s="1453"/>
      <c r="L23" s="4"/>
    </row>
    <row r="24" spans="1:12" ht="13.5" thickTop="1">
      <c r="A24" s="1076"/>
      <c r="B24" s="1103"/>
      <c r="C24" s="1104"/>
      <c r="D24" s="1105"/>
      <c r="E24" s="1105"/>
      <c r="F24" s="1105"/>
      <c r="G24" s="1104"/>
      <c r="H24" s="1104"/>
      <c r="I24" s="1104"/>
      <c r="J24" s="4"/>
      <c r="K24" s="4"/>
      <c r="L24" s="4"/>
    </row>
    <row r="25" spans="1:12" ht="12.75" customHeight="1">
      <c r="A25" s="1076"/>
      <c r="B25" s="1079"/>
      <c r="C25" s="1486" t="s">
        <v>718</v>
      </c>
      <c r="D25" s="1487"/>
      <c r="E25" s="1487"/>
      <c r="F25" s="1487"/>
      <c r="G25" s="1487"/>
      <c r="H25"/>
      <c r="I25"/>
      <c r="J25"/>
      <c r="K25"/>
      <c r="L25" s="4"/>
    </row>
    <row r="26" spans="1:12" s="1087" customFormat="1" ht="25.5">
      <c r="A26" s="1083" t="s">
        <v>701</v>
      </c>
      <c r="B26" s="1084" t="s">
        <v>702</v>
      </c>
      <c r="C26" s="1085" t="s">
        <v>407</v>
      </c>
      <c r="D26" s="1085" t="s">
        <v>703</v>
      </c>
      <c r="E26" s="1085" t="s">
        <v>128</v>
      </c>
      <c r="F26" s="1085" t="s">
        <v>704</v>
      </c>
      <c r="G26" s="1106" t="s">
        <v>705</v>
      </c>
      <c r="H26"/>
      <c r="I26"/>
      <c r="J26"/>
      <c r="K26"/>
      <c r="L26" s="4"/>
    </row>
    <row r="27" spans="1:12" s="1092" customFormat="1">
      <c r="A27" s="1088"/>
      <c r="B27" s="1089" t="s">
        <v>706</v>
      </c>
      <c r="C27" s="1090" t="s">
        <v>707</v>
      </c>
      <c r="D27" s="1090" t="s">
        <v>708</v>
      </c>
      <c r="E27" s="1090" t="s">
        <v>709</v>
      </c>
      <c r="F27" s="1090" t="s">
        <v>710</v>
      </c>
      <c r="G27" s="1091" t="s">
        <v>711</v>
      </c>
      <c r="H27"/>
      <c r="I27"/>
      <c r="J27"/>
      <c r="K27"/>
      <c r="L27" s="4"/>
    </row>
    <row r="28" spans="1:12" s="1092" customFormat="1" ht="44.25" customHeight="1">
      <c r="A28" s="1088"/>
      <c r="B28" s="1089" t="s">
        <v>712</v>
      </c>
      <c r="C28" s="1093" t="s">
        <v>172</v>
      </c>
      <c r="D28" s="1093" t="str">
        <f>"Company Records (Included in total in Column "&amp;C27&amp;")"</f>
        <v>Company Records (Included in total in Column (d))</v>
      </c>
      <c r="E28" s="1093" t="s">
        <v>8</v>
      </c>
      <c r="F28" s="1093" t="str">
        <f>"Company Records (Included in total in Column "&amp;E27&amp;")"</f>
        <v>Company Records (Included in total in Column (h))</v>
      </c>
      <c r="G28" s="1094" t="s">
        <v>294</v>
      </c>
      <c r="H28"/>
      <c r="I28"/>
      <c r="J28"/>
      <c r="K28"/>
      <c r="L28" s="4"/>
    </row>
    <row r="29" spans="1:12">
      <c r="A29" s="1088">
        <f>+A23+1</f>
        <v>15</v>
      </c>
      <c r="B29" s="1095" t="s">
        <v>713</v>
      </c>
      <c r="C29" s="1176">
        <v>13192735.284558399</v>
      </c>
      <c r="D29" s="1096"/>
      <c r="E29" s="1411">
        <v>40687.134660653697</v>
      </c>
      <c r="F29" s="1096"/>
      <c r="G29" s="1411">
        <v>816827.65835867892</v>
      </c>
      <c r="H29"/>
      <c r="I29"/>
      <c r="J29"/>
      <c r="K29"/>
      <c r="L29" s="4"/>
    </row>
    <row r="30" spans="1:12">
      <c r="A30" s="1088">
        <f>+A29+1</f>
        <v>16</v>
      </c>
      <c r="B30" s="1095" t="s">
        <v>566</v>
      </c>
      <c r="C30" s="1176">
        <v>13517474.894208999</v>
      </c>
      <c r="D30" s="1299"/>
      <c r="E30" s="1412">
        <v>43623.550491916496</v>
      </c>
      <c r="F30" s="1299"/>
      <c r="G30" s="1412">
        <v>842773.75623894401</v>
      </c>
      <c r="H30"/>
      <c r="I30"/>
      <c r="J30"/>
      <c r="K30"/>
      <c r="L30" s="4"/>
    </row>
    <row r="31" spans="1:12">
      <c r="A31" s="1088">
        <f t="shared" ref="A31:A42" si="2">+A30+1</f>
        <v>17</v>
      </c>
      <c r="B31" s="1097" t="s">
        <v>567</v>
      </c>
      <c r="C31" s="1176">
        <v>13843428.496665198</v>
      </c>
      <c r="D31" s="1299"/>
      <c r="E31" s="1412">
        <v>46578.204840469902</v>
      </c>
      <c r="F31" s="1299"/>
      <c r="G31" s="1412">
        <v>869096.18629578303</v>
      </c>
      <c r="H31"/>
      <c r="I31"/>
      <c r="J31"/>
      <c r="K31"/>
      <c r="L31" s="4"/>
    </row>
    <row r="32" spans="1:12">
      <c r="A32" s="1088">
        <f t="shared" si="2"/>
        <v>18</v>
      </c>
      <c r="B32" s="1097" t="s">
        <v>714</v>
      </c>
      <c r="C32" s="1176">
        <v>14169711.479763901</v>
      </c>
      <c r="D32" s="1299"/>
      <c r="E32" s="1412">
        <v>49560.988123066898</v>
      </c>
      <c r="F32" s="1299"/>
      <c r="G32" s="1412">
        <v>895879.70258218609</v>
      </c>
      <c r="H32"/>
      <c r="I32"/>
      <c r="J32"/>
      <c r="K32"/>
      <c r="L32" s="4"/>
    </row>
    <row r="33" spans="1:12">
      <c r="A33" s="1088">
        <f t="shared" si="2"/>
        <v>19</v>
      </c>
      <c r="B33" s="1097" t="s">
        <v>569</v>
      </c>
      <c r="C33" s="1176">
        <v>14496525.838276701</v>
      </c>
      <c r="D33" s="1299"/>
      <c r="E33" s="1412">
        <v>52579.158154030301</v>
      </c>
      <c r="F33" s="1299"/>
      <c r="G33" s="1412">
        <v>923171.87813041697</v>
      </c>
      <c r="H33"/>
      <c r="I33"/>
      <c r="J33"/>
      <c r="K33"/>
      <c r="L33" s="4"/>
    </row>
    <row r="34" spans="1:12">
      <c r="A34" s="1088">
        <f t="shared" si="2"/>
        <v>20</v>
      </c>
      <c r="B34" s="1097" t="s">
        <v>570</v>
      </c>
      <c r="C34" s="1176">
        <v>14824653.355247699</v>
      </c>
      <c r="D34" s="1299"/>
      <c r="E34" s="1412">
        <v>55621.319196108205</v>
      </c>
      <c r="F34" s="1299"/>
      <c r="G34" s="1412">
        <v>950808.48660998698</v>
      </c>
      <c r="H34"/>
      <c r="I34"/>
      <c r="J34"/>
      <c r="K34"/>
      <c r="L34" s="4"/>
    </row>
    <row r="35" spans="1:12">
      <c r="A35" s="1088">
        <f t="shared" si="2"/>
        <v>21</v>
      </c>
      <c r="B35" s="1097" t="s">
        <v>571</v>
      </c>
      <c r="C35" s="1176">
        <v>15165504.9781716</v>
      </c>
      <c r="D35" s="1299"/>
      <c r="E35" s="1412">
        <v>58610.924714172099</v>
      </c>
      <c r="F35" s="1299"/>
      <c r="G35" s="1412">
        <v>978747.80491981702</v>
      </c>
      <c r="H35"/>
      <c r="I35"/>
      <c r="J35"/>
      <c r="K35"/>
      <c r="L35" s="4"/>
    </row>
    <row r="36" spans="1:12">
      <c r="A36" s="1088">
        <f t="shared" si="2"/>
        <v>22</v>
      </c>
      <c r="B36" s="1097" t="s">
        <v>572</v>
      </c>
      <c r="C36" s="1176">
        <v>15506591.5485925</v>
      </c>
      <c r="D36" s="1299"/>
      <c r="E36" s="1412">
        <v>61616.630340394498</v>
      </c>
      <c r="F36" s="1299"/>
      <c r="G36" s="1412">
        <v>1006012.24496641</v>
      </c>
      <c r="H36"/>
      <c r="I36"/>
      <c r="J36"/>
      <c r="K36"/>
      <c r="L36" s="4"/>
    </row>
    <row r="37" spans="1:12">
      <c r="A37" s="1088">
        <f t="shared" si="2"/>
        <v>23</v>
      </c>
      <c r="B37" s="1097" t="s">
        <v>715</v>
      </c>
      <c r="C37" s="1176">
        <v>15847800.5078959</v>
      </c>
      <c r="D37" s="1299"/>
      <c r="E37" s="1412">
        <v>64639.649507602102</v>
      </c>
      <c r="F37" s="1299"/>
      <c r="G37" s="1412">
        <v>1033602.6174938499</v>
      </c>
      <c r="H37"/>
      <c r="I37"/>
      <c r="J37"/>
      <c r="K37"/>
      <c r="L37" s="4"/>
    </row>
    <row r="38" spans="1:12">
      <c r="A38" s="1088">
        <f t="shared" si="2"/>
        <v>24</v>
      </c>
      <c r="B38" s="1097" t="s">
        <v>574</v>
      </c>
      <c r="C38" s="1176">
        <v>16189154.455679599</v>
      </c>
      <c r="D38" s="1299"/>
      <c r="E38" s="1412">
        <v>67681.173004862008</v>
      </c>
      <c r="F38" s="1299"/>
      <c r="G38" s="1412">
        <v>1061541.4484910099</v>
      </c>
      <c r="H38"/>
      <c r="I38"/>
      <c r="J38"/>
      <c r="K38"/>
      <c r="L38" s="4"/>
    </row>
    <row r="39" spans="1:12">
      <c r="A39" s="1088">
        <f t="shared" si="2"/>
        <v>25</v>
      </c>
      <c r="B39" s="1097" t="s">
        <v>575</v>
      </c>
      <c r="C39" s="1176">
        <v>16530676.5532947</v>
      </c>
      <c r="D39" s="1299"/>
      <c r="E39" s="1412">
        <v>70742.502001952002</v>
      </c>
      <c r="F39" s="1299"/>
      <c r="G39" s="1412">
        <v>1089853.8876996199</v>
      </c>
      <c r="H39"/>
      <c r="I39"/>
      <c r="J39"/>
      <c r="K39"/>
      <c r="L39" s="4"/>
    </row>
    <row r="40" spans="1:12">
      <c r="A40" s="1088">
        <f t="shared" si="2"/>
        <v>26</v>
      </c>
      <c r="B40" s="1097" t="s">
        <v>576</v>
      </c>
      <c r="C40" s="1176">
        <v>16876872.287581701</v>
      </c>
      <c r="D40" s="1299"/>
      <c r="E40" s="1412">
        <v>73825.2081629889</v>
      </c>
      <c r="F40" s="1299"/>
      <c r="G40" s="1412">
        <v>1118564.8392749599</v>
      </c>
      <c r="H40"/>
      <c r="I40"/>
      <c r="J40"/>
      <c r="K40"/>
      <c r="L40" s="4"/>
    </row>
    <row r="41" spans="1:12">
      <c r="A41" s="1098">
        <f t="shared" si="2"/>
        <v>27</v>
      </c>
      <c r="B41" s="1099" t="s">
        <v>716</v>
      </c>
      <c r="C41" s="1176">
        <v>17223672.060562104</v>
      </c>
      <c r="D41" s="1096"/>
      <c r="E41" s="1452">
        <v>76930.154785341205</v>
      </c>
      <c r="F41" s="1096"/>
      <c r="G41" s="1452">
        <v>1147683.3343459801</v>
      </c>
      <c r="H41"/>
      <c r="I41"/>
      <c r="J41"/>
      <c r="K41"/>
      <c r="L41" s="4"/>
    </row>
    <row r="42" spans="1:12" ht="13.5" thickBot="1">
      <c r="A42" s="1107">
        <f t="shared" si="2"/>
        <v>28</v>
      </c>
      <c r="B42" s="1108" t="s">
        <v>717</v>
      </c>
      <c r="C42" s="1101">
        <f t="shared" ref="C42:G42" si="3">SUM(C29:C41)/13</f>
        <v>15183446.287730694</v>
      </c>
      <c r="D42" s="1101">
        <f t="shared" si="3"/>
        <v>0</v>
      </c>
      <c r="E42" s="1101">
        <f t="shared" si="3"/>
        <v>58668.96907565833</v>
      </c>
      <c r="F42" s="1101">
        <f t="shared" si="3"/>
        <v>0</v>
      </c>
      <c r="G42" s="1101">
        <f t="shared" si="3"/>
        <v>979581.83426212636</v>
      </c>
      <c r="H42"/>
      <c r="I42"/>
      <c r="J42"/>
      <c r="K42"/>
      <c r="L42" s="4"/>
    </row>
    <row r="43" spans="1:12" ht="13.5" thickTop="1">
      <c r="A43" s="1076"/>
      <c r="B43" s="1103"/>
      <c r="C43" s="1104"/>
      <c r="D43" s="1105"/>
      <c r="E43" s="1105"/>
      <c r="F43" s="1105"/>
      <c r="G43" s="1104"/>
      <c r="H43"/>
      <c r="I43"/>
      <c r="J43"/>
      <c r="K43"/>
      <c r="L43" s="4"/>
    </row>
    <row r="44" spans="1:12">
      <c r="A44" s="1076"/>
      <c r="B44" s="1103"/>
      <c r="C44" s="1104"/>
      <c r="D44" s="1105"/>
      <c r="E44" s="1105"/>
      <c r="F44" s="1105"/>
      <c r="G44" s="1104"/>
      <c r="H44" s="1104"/>
      <c r="I44" s="1104"/>
    </row>
    <row r="45" spans="1:12">
      <c r="A45" s="1109"/>
      <c r="B45" s="1110"/>
      <c r="C45" s="1111"/>
      <c r="D45" s="1112"/>
      <c r="E45" s="1112"/>
      <c r="F45" s="1157"/>
    </row>
    <row r="46" spans="1:12" ht="72" customHeight="1">
      <c r="A46" s="1113" t="s">
        <v>701</v>
      </c>
      <c r="B46" s="1090" t="s">
        <v>702</v>
      </c>
      <c r="C46" s="1114" t="s">
        <v>720</v>
      </c>
      <c r="D46" s="1085" t="s">
        <v>721</v>
      </c>
      <c r="E46" s="1085" t="s">
        <v>722</v>
      </c>
      <c r="F46" s="1106" t="s">
        <v>723</v>
      </c>
    </row>
    <row r="47" spans="1:12" s="1092" customFormat="1">
      <c r="A47" s="1088"/>
      <c r="B47" s="1090" t="s">
        <v>706</v>
      </c>
      <c r="C47" s="1115" t="s">
        <v>724</v>
      </c>
      <c r="D47" s="1090" t="s">
        <v>725</v>
      </c>
      <c r="E47" s="1090" t="s">
        <v>707</v>
      </c>
      <c r="F47" s="1089" t="s">
        <v>708</v>
      </c>
    </row>
    <row r="48" spans="1:12" s="1092" customFormat="1" ht="51">
      <c r="A48" s="1088"/>
      <c r="B48" s="1090" t="s">
        <v>712</v>
      </c>
      <c r="C48" s="1116" t="str">
        <f>"Company Records (included in total in column "&amp;C8&amp;" of gross plant above)"</f>
        <v>Company Records (included in total in column (d) of gross plant above)</v>
      </c>
      <c r="D48" s="1116" t="str">
        <f>"Company Records (included in total in column "&amp;C27&amp;" of accumulated depreciation above)"</f>
        <v>Company Records (included in total in column (d) of accumulated depreciation above)</v>
      </c>
      <c r="E48" s="1117" t="s">
        <v>719</v>
      </c>
      <c r="F48" s="1158" t="s">
        <v>719</v>
      </c>
    </row>
    <row r="49" spans="1:11">
      <c r="A49" s="1088">
        <f>+A42+1</f>
        <v>29</v>
      </c>
      <c r="B49" s="1118" t="s">
        <v>713</v>
      </c>
      <c r="C49" s="1119">
        <v>0</v>
      </c>
      <c r="D49" s="1096">
        <v>0</v>
      </c>
      <c r="E49" s="1096">
        <v>0</v>
      </c>
      <c r="F49" s="1159">
        <v>0</v>
      </c>
    </row>
    <row r="50" spans="1:11">
      <c r="A50" s="1088">
        <f>+A49+1</f>
        <v>30</v>
      </c>
      <c r="B50" s="1118" t="s">
        <v>566</v>
      </c>
      <c r="C50" s="1300">
        <v>0</v>
      </c>
      <c r="D50" s="1299">
        <v>0</v>
      </c>
      <c r="E50" s="1299">
        <v>0</v>
      </c>
      <c r="F50" s="1159">
        <v>0</v>
      </c>
    </row>
    <row r="51" spans="1:11">
      <c r="A51" s="1088">
        <f t="shared" ref="A51:A62" si="4">+A50+1</f>
        <v>31</v>
      </c>
      <c r="B51" s="1120" t="s">
        <v>567</v>
      </c>
      <c r="C51" s="1300">
        <v>0</v>
      </c>
      <c r="D51" s="1299">
        <v>0</v>
      </c>
      <c r="E51" s="1299">
        <v>0</v>
      </c>
      <c r="F51" s="1159">
        <v>0</v>
      </c>
    </row>
    <row r="52" spans="1:11">
      <c r="A52" s="1088">
        <f t="shared" si="4"/>
        <v>32</v>
      </c>
      <c r="B52" s="1120" t="s">
        <v>714</v>
      </c>
      <c r="C52" s="1300">
        <v>0</v>
      </c>
      <c r="D52" s="1299">
        <v>0</v>
      </c>
      <c r="E52" s="1299">
        <v>0</v>
      </c>
      <c r="F52" s="1159">
        <v>0</v>
      </c>
    </row>
    <row r="53" spans="1:11">
      <c r="A53" s="1088">
        <f t="shared" si="4"/>
        <v>33</v>
      </c>
      <c r="B53" s="1120" t="s">
        <v>569</v>
      </c>
      <c r="C53" s="1300">
        <v>0</v>
      </c>
      <c r="D53" s="1299">
        <v>0</v>
      </c>
      <c r="E53" s="1299">
        <v>0</v>
      </c>
      <c r="F53" s="1159">
        <v>0</v>
      </c>
    </row>
    <row r="54" spans="1:11">
      <c r="A54" s="1088">
        <f t="shared" si="4"/>
        <v>34</v>
      </c>
      <c r="B54" s="1120" t="s">
        <v>570</v>
      </c>
      <c r="C54" s="1300">
        <v>0</v>
      </c>
      <c r="D54" s="1299">
        <v>0</v>
      </c>
      <c r="E54" s="1299">
        <v>0</v>
      </c>
      <c r="F54" s="1159">
        <v>0</v>
      </c>
    </row>
    <row r="55" spans="1:11">
      <c r="A55" s="1088">
        <f t="shared" si="4"/>
        <v>35</v>
      </c>
      <c r="B55" s="1120" t="s">
        <v>571</v>
      </c>
      <c r="C55" s="1300">
        <v>0</v>
      </c>
      <c r="D55" s="1299">
        <v>0</v>
      </c>
      <c r="E55" s="1299">
        <v>0</v>
      </c>
      <c r="F55" s="1159">
        <v>0</v>
      </c>
    </row>
    <row r="56" spans="1:11">
      <c r="A56" s="1088">
        <f t="shared" si="4"/>
        <v>36</v>
      </c>
      <c r="B56" s="1120" t="s">
        <v>572</v>
      </c>
      <c r="C56" s="1300">
        <v>0</v>
      </c>
      <c r="D56" s="1299">
        <v>0</v>
      </c>
      <c r="E56" s="1299">
        <v>0</v>
      </c>
      <c r="F56" s="1159">
        <v>0</v>
      </c>
    </row>
    <row r="57" spans="1:11">
      <c r="A57" s="1088">
        <f t="shared" si="4"/>
        <v>37</v>
      </c>
      <c r="B57" s="1120" t="s">
        <v>715</v>
      </c>
      <c r="C57" s="1300">
        <v>0</v>
      </c>
      <c r="D57" s="1299">
        <v>0</v>
      </c>
      <c r="E57" s="1299">
        <v>0</v>
      </c>
      <c r="F57" s="1159">
        <v>0</v>
      </c>
    </row>
    <row r="58" spans="1:11">
      <c r="A58" s="1088">
        <f t="shared" si="4"/>
        <v>38</v>
      </c>
      <c r="B58" s="1120" t="s">
        <v>574</v>
      </c>
      <c r="C58" s="1300">
        <v>0</v>
      </c>
      <c r="D58" s="1299">
        <v>0</v>
      </c>
      <c r="E58" s="1299">
        <v>0</v>
      </c>
      <c r="F58" s="1159">
        <v>0</v>
      </c>
    </row>
    <row r="59" spans="1:11">
      <c r="A59" s="1088">
        <f t="shared" si="4"/>
        <v>39</v>
      </c>
      <c r="B59" s="1120" t="s">
        <v>575</v>
      </c>
      <c r="C59" s="1300">
        <v>0</v>
      </c>
      <c r="D59" s="1299">
        <v>0</v>
      </c>
      <c r="E59" s="1299">
        <v>0</v>
      </c>
      <c r="F59" s="1159">
        <v>0</v>
      </c>
    </row>
    <row r="60" spans="1:11">
      <c r="A60" s="1088">
        <f t="shared" si="4"/>
        <v>40</v>
      </c>
      <c r="B60" s="1120" t="s">
        <v>576</v>
      </c>
      <c r="C60" s="1300">
        <v>0</v>
      </c>
      <c r="D60" s="1299">
        <v>0</v>
      </c>
      <c r="E60" s="1299">
        <v>0</v>
      </c>
      <c r="F60" s="1159">
        <v>0</v>
      </c>
    </row>
    <row r="61" spans="1:11">
      <c r="A61" s="1098">
        <f t="shared" si="4"/>
        <v>41</v>
      </c>
      <c r="B61" s="1121" t="s">
        <v>716</v>
      </c>
      <c r="C61" s="1122">
        <v>0</v>
      </c>
      <c r="D61" s="1096">
        <v>0</v>
      </c>
      <c r="E61" s="1096">
        <v>0</v>
      </c>
      <c r="F61" s="1159">
        <v>0</v>
      </c>
    </row>
    <row r="62" spans="1:11" ht="13.5" thickBot="1">
      <c r="A62" s="1123">
        <f t="shared" si="4"/>
        <v>42</v>
      </c>
      <c r="B62" s="1108" t="s">
        <v>717</v>
      </c>
      <c r="C62" s="1101">
        <f>SUM(C49:C61)/13</f>
        <v>0</v>
      </c>
      <c r="D62" s="1101">
        <f>SUM(D49:D61)/13</f>
        <v>0</v>
      </c>
      <c r="E62" s="1101">
        <f>SUM(E49:E61)/13</f>
        <v>0</v>
      </c>
      <c r="F62" s="1102">
        <f>SUM(F49:F61)/13</f>
        <v>0</v>
      </c>
    </row>
    <row r="63" spans="1:11" ht="13.5" thickTop="1">
      <c r="A63" s="1076"/>
      <c r="B63" s="1103"/>
      <c r="I63" s="1105"/>
      <c r="K63" s="4"/>
    </row>
    <row r="64" spans="1:11">
      <c r="A64" s="1076">
        <v>43</v>
      </c>
      <c r="B64" s="1480" t="s">
        <v>983</v>
      </c>
      <c r="C64" s="1125">
        <f>+C42-D62-F62</f>
        <v>15183446.287730694</v>
      </c>
      <c r="I64" s="1105"/>
      <c r="K64" s="4"/>
    </row>
    <row r="65" spans="1:6" customFormat="1">
      <c r="B65" s="1480"/>
    </row>
    <row r="66" spans="1:6" customFormat="1"/>
    <row r="67" spans="1:6" customFormat="1" ht="25.5">
      <c r="A67" s="1127" t="s">
        <v>322</v>
      </c>
      <c r="B67" s="1128"/>
      <c r="C67" s="1129" t="s">
        <v>320</v>
      </c>
      <c r="D67" s="1130" t="str">
        <f>"Balance @ December 31, "&amp;TCOS!L4&amp;""</f>
        <v>Balance @ December 31, 2025</v>
      </c>
      <c r="E67" s="1131" t="str">
        <f>"Balance @ December 31, "&amp;TCOS!L4-1&amp;""</f>
        <v>Balance @ December 31, 2024</v>
      </c>
      <c r="F67" s="1131" t="str">
        <f>"Average Balance for "&amp;TCOS!L4&amp;""</f>
        <v>Average Balance for 2025</v>
      </c>
    </row>
    <row r="68" spans="1:6" customFormat="1">
      <c r="A68" s="1132"/>
      <c r="B68" s="1090" t="s">
        <v>706</v>
      </c>
      <c r="C68" s="1090" t="s">
        <v>724</v>
      </c>
      <c r="D68" s="1090" t="s">
        <v>725</v>
      </c>
      <c r="E68" s="1090" t="s">
        <v>707</v>
      </c>
      <c r="F68" s="1090" t="s">
        <v>708</v>
      </c>
    </row>
    <row r="69" spans="1:6" customFormat="1">
      <c r="A69" s="1133">
        <f>+A64+1</f>
        <v>44</v>
      </c>
      <c r="B69" s="1132" t="s">
        <v>322</v>
      </c>
      <c r="C69" s="1134" t="s">
        <v>169</v>
      </c>
      <c r="D69" s="440">
        <v>0</v>
      </c>
      <c r="E69" s="440">
        <v>0</v>
      </c>
      <c r="F69" s="1135">
        <f>IF(E69="",0,AVERAGE(D69:E69))</f>
        <v>0</v>
      </c>
    </row>
    <row r="70" spans="1:6" customFormat="1">
      <c r="A70" s="1136"/>
      <c r="B70" s="1137"/>
      <c r="C70" s="1137"/>
      <c r="F70" s="1138"/>
    </row>
    <row r="71" spans="1:6" customFormat="1">
      <c r="A71" s="1133">
        <f>+A69+1</f>
        <v>45</v>
      </c>
      <c r="B71" s="1132" t="s">
        <v>777</v>
      </c>
      <c r="C71" s="1139" t="s">
        <v>326</v>
      </c>
      <c r="D71" s="440">
        <v>0</v>
      </c>
      <c r="E71" s="440">
        <v>0</v>
      </c>
      <c r="F71" s="1135">
        <f>IF(E71="",0,AVERAGE(D71:E71))</f>
        <v>0</v>
      </c>
    </row>
    <row r="72" spans="1:6" customFormat="1">
      <c r="A72" s="4"/>
      <c r="B72" s="4"/>
      <c r="C72" s="4"/>
      <c r="D72" s="4"/>
    </row>
    <row r="73" spans="1:6" customFormat="1">
      <c r="A73" s="1132" t="s">
        <v>21</v>
      </c>
      <c r="B73" s="4"/>
      <c r="C73" s="4"/>
      <c r="D73" s="4"/>
    </row>
    <row r="74" spans="1:6" customFormat="1">
      <c r="A74" s="1140"/>
      <c r="B74" s="1137" t="s">
        <v>155</v>
      </c>
      <c r="C74" s="1137"/>
      <c r="D74" s="1137"/>
      <c r="E74" s="1137"/>
      <c r="F74" s="1137"/>
    </row>
    <row r="75" spans="1:6" customFormat="1">
      <c r="A75" s="1133">
        <f>+A71+1</f>
        <v>46</v>
      </c>
      <c r="B75" s="1302">
        <v>0</v>
      </c>
      <c r="C75" s="1302">
        <v>0</v>
      </c>
      <c r="D75" s="1303">
        <v>0</v>
      </c>
      <c r="E75" s="440">
        <v>0</v>
      </c>
      <c r="F75" s="1135">
        <f>IF(E75="",0,AVERAGE(D75:E75))</f>
        <v>0</v>
      </c>
    </row>
    <row r="76" spans="1:6" customFormat="1">
      <c r="A76" s="1133">
        <f>+A75+1</f>
        <v>47</v>
      </c>
      <c r="B76" s="1302">
        <v>0</v>
      </c>
      <c r="C76" s="1302">
        <v>0</v>
      </c>
      <c r="D76" s="1303">
        <v>0</v>
      </c>
      <c r="E76" s="440">
        <v>0</v>
      </c>
      <c r="F76" s="1135">
        <f>IF(E76="",0,AVERAGE(D76:E76))</f>
        <v>0</v>
      </c>
    </row>
    <row r="77" spans="1:6" customFormat="1">
      <c r="A77" s="1133">
        <f>+A76+1</f>
        <v>48</v>
      </c>
      <c r="B77" s="1302">
        <v>0</v>
      </c>
      <c r="C77" s="1302">
        <v>0</v>
      </c>
      <c r="D77" s="1303">
        <v>0</v>
      </c>
      <c r="E77" s="440">
        <v>0</v>
      </c>
      <c r="F77" s="1135">
        <f>IF(E77="",0,AVERAGE(D77:E77))</f>
        <v>0</v>
      </c>
    </row>
    <row r="78" spans="1:6" customFormat="1">
      <c r="A78" s="1133">
        <f>+A77+1</f>
        <v>49</v>
      </c>
      <c r="B78" s="1302">
        <v>0</v>
      </c>
      <c r="C78" s="1302">
        <v>0</v>
      </c>
      <c r="D78" s="1303">
        <v>0</v>
      </c>
      <c r="E78" s="440">
        <v>0</v>
      </c>
      <c r="F78" s="1135">
        <f>IF(E78="",0,AVERAGE(D78:E78))</f>
        <v>0</v>
      </c>
    </row>
    <row r="79" spans="1:6" customFormat="1">
      <c r="A79" s="1133">
        <f>+A78+1</f>
        <v>50</v>
      </c>
      <c r="B79" s="1302">
        <v>0</v>
      </c>
      <c r="C79" s="1302">
        <v>0</v>
      </c>
      <c r="D79" s="1304">
        <v>0</v>
      </c>
      <c r="E79" s="1141">
        <v>0</v>
      </c>
      <c r="F79" s="1142">
        <f>IF(E79="",0,AVERAGE(D79:E79))</f>
        <v>0</v>
      </c>
    </row>
    <row r="80" spans="1:6" customFormat="1" ht="18" customHeight="1">
      <c r="A80" s="1133">
        <f>+A79+1</f>
        <v>51</v>
      </c>
      <c r="B80" s="1137" t="s">
        <v>726</v>
      </c>
      <c r="C80" s="1137"/>
      <c r="D80" s="1143">
        <f>SUM(D75:D79)</f>
        <v>0</v>
      </c>
      <c r="E80" s="1143">
        <f>SUM(E75:E79)</f>
        <v>0</v>
      </c>
      <c r="F80" s="1143">
        <f>SUM(F75:F79)</f>
        <v>0</v>
      </c>
    </row>
    <row r="81" spans="1:6" customFormat="1" ht="17.25" customHeight="1">
      <c r="A81" s="1133"/>
      <c r="B81" s="1137"/>
      <c r="C81" s="1137"/>
      <c r="D81" s="1143"/>
      <c r="E81" s="1143"/>
      <c r="F81" s="1143"/>
    </row>
    <row r="82" spans="1:6" customFormat="1" ht="18.75" customHeight="1">
      <c r="A82" s="1132" t="s">
        <v>727</v>
      </c>
      <c r="B82" s="1144"/>
      <c r="C82" s="1144"/>
      <c r="D82" s="1144"/>
      <c r="E82" s="1137"/>
      <c r="F82" s="1137"/>
    </row>
    <row r="83" spans="1:6" customFormat="1" ht="31.5" customHeight="1">
      <c r="A83" s="1128"/>
      <c r="B83" s="1145"/>
      <c r="C83" s="1146"/>
      <c r="D83" s="5"/>
      <c r="E83" s="1137"/>
      <c r="F83" s="1137"/>
    </row>
    <row r="84" spans="1:6" customFormat="1" ht="21.75" customHeight="1">
      <c r="A84" s="1128">
        <f>+A80+1</f>
        <v>52</v>
      </c>
      <c r="B84" s="1147" t="s">
        <v>457</v>
      </c>
      <c r="C84" s="1147" t="s">
        <v>102</v>
      </c>
      <c r="D84" s="1148"/>
      <c r="E84" s="9"/>
      <c r="F84" s="1147"/>
    </row>
    <row r="85" spans="1:6" customFormat="1" ht="14.25">
      <c r="A85" s="1149" t="s">
        <v>728</v>
      </c>
      <c r="B85" s="1305">
        <v>0</v>
      </c>
      <c r="C85" s="1306">
        <v>0</v>
      </c>
      <c r="D85" s="1303">
        <v>0</v>
      </c>
      <c r="E85" s="1303">
        <v>0</v>
      </c>
      <c r="F85" s="1150">
        <f>IF(E85="",0,AVERAGE(D85:E85))</f>
        <v>0</v>
      </c>
    </row>
    <row r="86" spans="1:6" customFormat="1" ht="14.25">
      <c r="A86" s="1151" t="s">
        <v>729</v>
      </c>
      <c r="B86" s="1303">
        <v>0</v>
      </c>
      <c r="C86" s="1306">
        <v>0</v>
      </c>
      <c r="D86" s="1303">
        <v>0</v>
      </c>
      <c r="E86" s="1303">
        <v>0</v>
      </c>
      <c r="F86" s="1152">
        <f>IF(E86="",0,AVERAGE(D86:E86))</f>
        <v>0</v>
      </c>
    </row>
    <row r="87" spans="1:6" customFormat="1" ht="18" customHeight="1">
      <c r="A87" s="1153">
        <f>A84+2</f>
        <v>54</v>
      </c>
      <c r="B87" s="9"/>
      <c r="C87" s="1154" t="s">
        <v>410</v>
      </c>
      <c r="D87" s="1125">
        <f>SUM(D85:D86)</f>
        <v>0</v>
      </c>
      <c r="E87" s="1125">
        <f>SUM(E85:E86)</f>
        <v>0</v>
      </c>
      <c r="F87" s="1125">
        <f>SUM(F85:F86)</f>
        <v>0</v>
      </c>
    </row>
    <row r="88" spans="1:6" customFormat="1">
      <c r="A88" s="1133"/>
      <c r="B88" s="1137"/>
      <c r="C88" s="1137"/>
      <c r="D88" s="1137"/>
    </row>
    <row r="89" spans="1:6">
      <c r="A89" s="1155" t="s">
        <v>730</v>
      </c>
      <c r="B89" s="1137"/>
      <c r="C89" s="1137"/>
      <c r="D89" s="1137"/>
    </row>
    <row r="90" spans="1:6">
      <c r="A90" s="1155" t="s">
        <v>731</v>
      </c>
      <c r="B90" s="1137"/>
      <c r="C90" s="1137"/>
      <c r="D90" s="1137"/>
    </row>
  </sheetData>
  <mergeCells count="7">
    <mergeCell ref="B64:B65"/>
    <mergeCell ref="A1:G1"/>
    <mergeCell ref="A2:G2"/>
    <mergeCell ref="A3:G3"/>
    <mergeCell ref="C6:G6"/>
    <mergeCell ref="C25:G25"/>
    <mergeCell ref="A4:G4"/>
  </mergeCells>
  <pageMargins left="0.7" right="0.7" top="0.75" bottom="0.75" header="0.3" footer="0.3"/>
  <pageSetup scale="69" fitToHeight="0" orientation="landscape" cellComments="asDisplayed" r:id="rId1"/>
  <headerFooter>
    <oddHeader>&amp;RPage  &amp;P of &amp;N</oddHeader>
  </headerFooter>
  <rowBreaks count="1" manualBreakCount="1">
    <brk id="43" max="16383"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6">
    <pageSetUpPr fitToPage="1"/>
  </sheetPr>
  <dimension ref="A1:L222"/>
  <sheetViews>
    <sheetView topLeftCell="A6" zoomScale="75" zoomScaleNormal="75" workbookViewId="0">
      <selection activeCell="G15" sqref="G15"/>
    </sheetView>
  </sheetViews>
  <sheetFormatPr defaultRowHeight="12.75"/>
  <cols>
    <col min="1" max="1" width="9.140625" style="15"/>
    <col min="2" max="2" width="0.85546875" style="18" customWidth="1"/>
    <col min="3" max="3" width="41.5703125" style="15" customWidth="1"/>
    <col min="4" max="4" width="38.85546875" style="15" bestFit="1" customWidth="1"/>
    <col min="5" max="5" width="23.28515625" style="15" customWidth="1"/>
    <col min="6" max="6" width="1.7109375" style="15" customWidth="1"/>
    <col min="7" max="7" width="23.5703125" style="15" customWidth="1"/>
    <col min="8" max="8" width="2.85546875" style="15" customWidth="1"/>
    <col min="9" max="9" width="20" style="15" customWidth="1"/>
    <col min="10" max="10" width="5.5703125" style="15" customWidth="1"/>
    <col min="11" max="12" width="9.140625" style="15"/>
    <col min="13" max="13" width="10" style="15" bestFit="1" customWidth="1"/>
    <col min="14" max="14" width="17.7109375" style="15" customWidth="1"/>
    <col min="15" max="15" width="15.5703125" style="15" bestFit="1" customWidth="1"/>
    <col min="16" max="16384" width="9.140625" style="15"/>
  </cols>
  <sheetData>
    <row r="1" spans="1:12" ht="15.75">
      <c r="A1" s="1005" t="s">
        <v>406</v>
      </c>
    </row>
    <row r="2" spans="1:12" ht="15.75">
      <c r="A2" s="1005" t="s">
        <v>406</v>
      </c>
    </row>
    <row r="3" spans="1:12" ht="15">
      <c r="A3" s="1489" t="str">
        <f>TCOS!$F$5</f>
        <v>AEPTCo subsidiaries in PJM</v>
      </c>
      <c r="B3" s="1489" t="str">
        <f>TCOS!$F$5</f>
        <v>AEPTCo subsidiaries in PJM</v>
      </c>
      <c r="C3" s="1489" t="str">
        <f>TCOS!$F$5</f>
        <v>AEPTCo subsidiaries in PJM</v>
      </c>
      <c r="D3" s="1489" t="str">
        <f>TCOS!$F$5</f>
        <v>AEPTCo subsidiaries in PJM</v>
      </c>
      <c r="E3" s="1489" t="str">
        <f>TCOS!$F$5</f>
        <v>AEPTCo subsidiaries in PJM</v>
      </c>
      <c r="F3" s="1489" t="str">
        <f>TCOS!$F$5</f>
        <v>AEPTCo subsidiaries in PJM</v>
      </c>
      <c r="G3" s="1489" t="str">
        <f>TCOS!$F$5</f>
        <v>AEPTCo subsidiaries in PJM</v>
      </c>
      <c r="H3" s="1489" t="str">
        <f>TCOS!$F$5</f>
        <v>AEPTCo subsidiaries in PJM</v>
      </c>
      <c r="I3" s="1489" t="str">
        <f>TCOS!$F$5</f>
        <v>AEPTCo subsidiaries in PJM</v>
      </c>
      <c r="J3" s="21"/>
    </row>
    <row r="4" spans="1:12" ht="15">
      <c r="A4" s="1482" t="str">
        <f>"Cost of Service Formula Rate Using Actual/Projected FF1 Balances"</f>
        <v>Cost of Service Formula Rate Using Actual/Projected FF1 Balances</v>
      </c>
      <c r="B4" s="1482"/>
      <c r="C4" s="1482"/>
      <c r="D4" s="1482"/>
      <c r="E4" s="1482"/>
      <c r="F4" s="1482"/>
      <c r="G4" s="1482"/>
      <c r="H4" s="1482"/>
      <c r="I4" s="1482"/>
      <c r="J4" s="53"/>
    </row>
    <row r="5" spans="1:12" ht="15">
      <c r="A5" s="1482" t="s">
        <v>262</v>
      </c>
      <c r="B5" s="1482"/>
      <c r="C5" s="1482"/>
      <c r="D5" s="1482"/>
      <c r="E5" s="1482"/>
      <c r="F5" s="1482"/>
      <c r="G5" s="1482"/>
      <c r="H5" s="1482"/>
      <c r="I5" s="1482"/>
      <c r="J5" s="52"/>
    </row>
    <row r="6" spans="1:12" ht="15">
      <c r="A6" s="1492" t="str">
        <f>TCOS!F9</f>
        <v>AEP Appalachian Transmission Company</v>
      </c>
      <c r="B6" s="1492"/>
      <c r="C6" s="1492"/>
      <c r="D6" s="1492"/>
      <c r="E6" s="1492"/>
      <c r="F6" s="1492"/>
      <c r="G6" s="1492"/>
      <c r="H6" s="1492"/>
      <c r="I6" s="1492"/>
      <c r="J6" s="3"/>
    </row>
    <row r="7" spans="1:12">
      <c r="C7" s="17"/>
      <c r="D7" s="17"/>
    </row>
    <row r="8" spans="1:12" ht="15">
      <c r="A8" s="975"/>
      <c r="B8" s="986"/>
      <c r="C8" s="990" t="s">
        <v>452</v>
      </c>
      <c r="D8" s="990" t="s">
        <v>453</v>
      </c>
      <c r="E8" s="990" t="s">
        <v>454</v>
      </c>
      <c r="F8" s="975"/>
      <c r="G8" s="990" t="s">
        <v>455</v>
      </c>
      <c r="H8" s="975"/>
      <c r="I8" s="990" t="s">
        <v>375</v>
      </c>
      <c r="J8" s="5"/>
      <c r="K8"/>
      <c r="L8"/>
    </row>
    <row r="9" spans="1:12" ht="15">
      <c r="A9" s="974"/>
      <c r="B9" s="986"/>
      <c r="C9" s="975"/>
      <c r="D9" s="975"/>
      <c r="E9" s="975"/>
      <c r="F9" s="975"/>
      <c r="G9" s="975"/>
      <c r="H9" s="975"/>
      <c r="I9" s="991"/>
      <c r="J9"/>
      <c r="K9"/>
      <c r="L9"/>
    </row>
    <row r="10" spans="1:12" ht="12.75" customHeight="1">
      <c r="A10" s="989" t="s">
        <v>459</v>
      </c>
      <c r="B10" s="986"/>
      <c r="C10" s="992"/>
      <c r="D10" s="992"/>
      <c r="E10" s="1490" t="str">
        <f>"Balance @    December 31, "&amp;TCOS!L4&amp;""</f>
        <v>Balance @    December 31, 2025</v>
      </c>
      <c r="F10" s="993"/>
      <c r="G10" s="1490" t="str">
        <f>"Balance @     December 31, "&amp;TCOS!L4-1&amp;""</f>
        <v>Balance @     December 31, 2024</v>
      </c>
      <c r="H10" s="993"/>
      <c r="I10" s="1493" t="str">
        <f>"Average Balance for "&amp;TCOS!L4&amp;""</f>
        <v>Average Balance for 2025</v>
      </c>
      <c r="J10"/>
      <c r="K10"/>
      <c r="L10"/>
    </row>
    <row r="11" spans="1:12" ht="15">
      <c r="A11" s="996" t="s">
        <v>397</v>
      </c>
      <c r="B11" s="994"/>
      <c r="C11" s="989" t="s">
        <v>457</v>
      </c>
      <c r="D11" s="989" t="s">
        <v>488</v>
      </c>
      <c r="E11" s="1491"/>
      <c r="F11" s="995"/>
      <c r="G11" s="1491"/>
      <c r="H11" s="995"/>
      <c r="I11" s="1491"/>
      <c r="J11"/>
      <c r="K11"/>
      <c r="L11"/>
    </row>
    <row r="12" spans="1:12">
      <c r="A12" s="51"/>
      <c r="C12" s="17"/>
      <c r="D12" s="17"/>
      <c r="G12" s="113"/>
    </row>
    <row r="13" spans="1:12">
      <c r="A13" s="51"/>
      <c r="C13" s="17"/>
      <c r="D13" s="17"/>
    </row>
    <row r="14" spans="1:12">
      <c r="A14" s="51"/>
      <c r="C14" s="17"/>
      <c r="D14" s="17"/>
    </row>
    <row r="15" spans="1:12" ht="15.75">
      <c r="A15" s="51">
        <v>1</v>
      </c>
      <c r="C15" s="40" t="s">
        <v>295</v>
      </c>
      <c r="D15" s="40"/>
    </row>
    <row r="16" spans="1:12" ht="15.75">
      <c r="A16" s="51"/>
      <c r="C16" s="40"/>
      <c r="D16" s="989"/>
      <c r="H16"/>
    </row>
    <row r="17" spans="1:9" ht="14.25">
      <c r="A17" s="51">
        <f>+A15+1</f>
        <v>2</v>
      </c>
      <c r="C17" s="983" t="s">
        <v>301</v>
      </c>
      <c r="D17" s="987" t="s">
        <v>303</v>
      </c>
      <c r="E17" s="973">
        <v>0</v>
      </c>
      <c r="F17" s="978"/>
      <c r="G17" s="973">
        <v>0</v>
      </c>
      <c r="H17" s="979"/>
      <c r="I17" s="980">
        <f>IF(G17="",0,(E17+G17)/2)</f>
        <v>0</v>
      </c>
    </row>
    <row r="18" spans="1:9" ht="14.25">
      <c r="A18" s="51">
        <f>+A17+1</f>
        <v>3</v>
      </c>
      <c r="C18" s="983" t="s">
        <v>305</v>
      </c>
      <c r="D18" s="1244" t="str">
        <f>"WS B-1 - Actual Stmt. AF Ln. " &amp;'WS B-1 - Actual Stmt. AF'!A24&amp;" (Note 1)"</f>
        <v>WS B-1 - Actual Stmt. AF Ln. 4 (Note 1)</v>
      </c>
      <c r="E18" s="973">
        <v>0</v>
      </c>
      <c r="F18" s="975"/>
      <c r="G18" s="973">
        <v>0</v>
      </c>
      <c r="H18" s="979"/>
      <c r="I18" s="980">
        <f>IF(G18="",0,(E18+G18)/2)</f>
        <v>0</v>
      </c>
    </row>
    <row r="19" spans="1:9" ht="16.5">
      <c r="A19" s="51">
        <f>+A18+1</f>
        <v>4</v>
      </c>
      <c r="C19" s="983" t="s">
        <v>306</v>
      </c>
      <c r="D19" s="1244" t="str">
        <f>"WS B-1 - Actual Stmt. AF Ln. " &amp;'WS B-1 - Actual Stmt. AF'!A23&amp;" (Note 1)"</f>
        <v>WS B-1 - Actual Stmt. AF Ln. 3 (Note 1)</v>
      </c>
      <c r="E19" s="977">
        <v>0</v>
      </c>
      <c r="F19" s="975"/>
      <c r="G19" s="977">
        <v>0</v>
      </c>
      <c r="H19" s="975"/>
      <c r="I19" s="981">
        <f>IF(G19="",0,(E19+G19)/2)</f>
        <v>0</v>
      </c>
    </row>
    <row r="20" spans="1:9" ht="14.25">
      <c r="A20" s="51">
        <f>+A19+1</f>
        <v>5</v>
      </c>
      <c r="C20" s="983" t="s">
        <v>302</v>
      </c>
      <c r="D20" s="988" t="str">
        <f>"Ln "&amp;A17&amp;" - ln "&amp;A18&amp;" - ln "&amp;A19&amp;""</f>
        <v>Ln 2 - ln 3 - ln 4</v>
      </c>
      <c r="E20" s="982">
        <f>+E17-E18-E19</f>
        <v>0</v>
      </c>
      <c r="F20" s="975"/>
      <c r="G20" s="982">
        <f>+G17-G18-G19</f>
        <v>0</v>
      </c>
      <c r="H20" s="975"/>
      <c r="I20" s="980">
        <f>+I17-I18-I19</f>
        <v>0</v>
      </c>
    </row>
    <row r="21" spans="1:9" ht="14.25">
      <c r="A21" s="51"/>
      <c r="C21" s="42"/>
      <c r="D21" s="983"/>
      <c r="E21" s="975"/>
      <c r="F21" s="975"/>
      <c r="G21" s="975"/>
      <c r="H21" s="975"/>
      <c r="I21" s="975"/>
    </row>
    <row r="22" spans="1:9" ht="14.25">
      <c r="A22" s="51"/>
      <c r="C22" s="42"/>
      <c r="D22" s="983"/>
      <c r="E22" s="975"/>
      <c r="F22" s="975"/>
      <c r="G22" s="975"/>
      <c r="H22" s="975"/>
      <c r="I22" s="975"/>
    </row>
    <row r="23" spans="1:9" ht="15.75">
      <c r="A23" s="51">
        <f>+A20+1</f>
        <v>6</v>
      </c>
      <c r="C23" s="40" t="s">
        <v>296</v>
      </c>
      <c r="D23" s="983"/>
      <c r="E23" s="975"/>
      <c r="F23" s="975"/>
      <c r="G23" s="975"/>
      <c r="H23" s="975"/>
      <c r="I23" s="975"/>
    </row>
    <row r="24" spans="1:9" ht="14.25">
      <c r="A24" s="51"/>
      <c r="C24" s="42"/>
      <c r="D24" s="983"/>
      <c r="E24" s="975"/>
      <c r="F24" s="975"/>
      <c r="G24" s="975"/>
      <c r="H24" s="975"/>
      <c r="I24" s="975"/>
    </row>
    <row r="25" spans="1:9" ht="14.25">
      <c r="A25" s="51">
        <f>+A23+1</f>
        <v>7</v>
      </c>
      <c r="C25" s="983" t="s">
        <v>301</v>
      </c>
      <c r="D25" s="987" t="s">
        <v>229</v>
      </c>
      <c r="E25" s="973">
        <v>9877608.0035734475</v>
      </c>
      <c r="F25" s="978"/>
      <c r="G25" s="973">
        <v>8227658.5736573031</v>
      </c>
      <c r="H25" s="979"/>
      <c r="I25" s="980">
        <f>IF(G25="",0,(E25+G25)/2)</f>
        <v>9052633.2886153758</v>
      </c>
    </row>
    <row r="26" spans="1:9" ht="14.25">
      <c r="A26" s="51">
        <f>+A25+1</f>
        <v>8</v>
      </c>
      <c r="C26" s="983" t="s">
        <v>305</v>
      </c>
      <c r="D26" s="1244" t="str">
        <f>"WS B-1 - Actual Stmt. AF Ln. " &amp;'WS B-1 - Actual Stmt. AF'!A72&amp;" (Note 1)"</f>
        <v>WS B-1 - Actual Stmt. AF Ln. 7 (Note 1)</v>
      </c>
      <c r="E26" s="973">
        <v>0</v>
      </c>
      <c r="F26" s="975"/>
      <c r="G26" s="973">
        <v>0</v>
      </c>
      <c r="H26" s="979"/>
      <c r="I26" s="980">
        <f>IF(G26="",0,(E26+G26)/2)</f>
        <v>0</v>
      </c>
    </row>
    <row r="27" spans="1:9" ht="16.5">
      <c r="A27" s="51">
        <f>+A26+1</f>
        <v>9</v>
      </c>
      <c r="C27" s="983" t="s">
        <v>306</v>
      </c>
      <c r="D27" s="1244" t="str">
        <f>"WS B-1 - Actual Stmt. AF Ln. " &amp;'WS B-1 - Actual Stmt. AF'!A71&amp;" (Note 1)"</f>
        <v>WS B-1 - Actual Stmt. AF Ln. 6 (Note 1)</v>
      </c>
      <c r="E27" s="977">
        <v>1895096.6204319298</v>
      </c>
      <c r="F27" s="975"/>
      <c r="G27" s="977">
        <v>1004952.6700000009</v>
      </c>
      <c r="H27" s="975"/>
      <c r="I27" s="981">
        <f>IF(G27="",0,(E27+G27)/2)</f>
        <v>1450024.6452159653</v>
      </c>
    </row>
    <row r="28" spans="1:9" ht="14.25">
      <c r="A28" s="51">
        <f>+A27+1</f>
        <v>10</v>
      </c>
      <c r="C28" s="983" t="s">
        <v>302</v>
      </c>
      <c r="D28" s="988" t="str">
        <f>"Ln "&amp;A25&amp;" - ln "&amp;A26&amp;" - ln "&amp;A27&amp;""</f>
        <v>Ln 7 - ln 8 - ln 9</v>
      </c>
      <c r="E28" s="982">
        <f>+E25-E26-E27</f>
        <v>7982511.3831415176</v>
      </c>
      <c r="F28" s="975"/>
      <c r="G28" s="982">
        <f>+G25-G26-G27</f>
        <v>7222705.9036573023</v>
      </c>
      <c r="H28" s="975"/>
      <c r="I28" s="980">
        <f>+I25-I26-I27</f>
        <v>7602608.6433994099</v>
      </c>
    </row>
    <row r="29" spans="1:9" ht="14.25">
      <c r="A29" s="51"/>
      <c r="C29" s="42"/>
      <c r="D29" s="983"/>
      <c r="E29" s="975"/>
      <c r="F29" s="975"/>
      <c r="G29" s="975"/>
      <c r="H29" s="975"/>
      <c r="I29" s="975"/>
    </row>
    <row r="30" spans="1:9" ht="14.25">
      <c r="A30" s="51"/>
      <c r="C30" s="42"/>
      <c r="D30" s="983"/>
      <c r="E30" s="976"/>
      <c r="F30" s="975"/>
      <c r="G30" s="976"/>
      <c r="H30" s="975"/>
      <c r="I30" s="975"/>
    </row>
    <row r="31" spans="1:9" ht="15.75">
      <c r="A31" s="51">
        <f>+A28+1</f>
        <v>11</v>
      </c>
      <c r="C31" s="40" t="s">
        <v>297</v>
      </c>
      <c r="D31" s="983"/>
      <c r="E31" s="975"/>
      <c r="F31" s="975"/>
      <c r="G31" s="975"/>
      <c r="H31" s="975"/>
      <c r="I31" s="975"/>
    </row>
    <row r="32" spans="1:9" ht="15.75">
      <c r="A32" s="51"/>
      <c r="C32" s="40"/>
      <c r="D32" s="983"/>
      <c r="E32" s="975"/>
      <c r="F32" s="975"/>
      <c r="G32" s="975"/>
      <c r="H32" s="975"/>
      <c r="I32" s="975"/>
    </row>
    <row r="33" spans="1:9" ht="14.25">
      <c r="A33" s="51">
        <f>+A31+1</f>
        <v>12</v>
      </c>
      <c r="C33" s="983" t="s">
        <v>301</v>
      </c>
      <c r="D33" s="987" t="s">
        <v>304</v>
      </c>
      <c r="E33" s="973">
        <v>2677308.2230032524</v>
      </c>
      <c r="F33" s="978"/>
      <c r="G33" s="973">
        <v>2612716.3891426963</v>
      </c>
      <c r="H33" s="979"/>
      <c r="I33" s="980">
        <f>IF(G33="",0,(E33+G33)/2)</f>
        <v>2645012.3060729746</v>
      </c>
    </row>
    <row r="34" spans="1:9" ht="14.25">
      <c r="A34" s="51">
        <f>+A33+1</f>
        <v>13</v>
      </c>
      <c r="C34" s="983" t="s">
        <v>305</v>
      </c>
      <c r="D34" s="1244" t="str">
        <f>"WS B-1 - Actual Stmt. AF Ln. " &amp;'WS B-1 - Actual Stmt. AF'!A184&amp;" (Note 1)"</f>
        <v>WS B-1 - Actual Stmt. AF Ln. 13 (Note 1)</v>
      </c>
      <c r="E34" s="973">
        <v>0</v>
      </c>
      <c r="F34" s="975"/>
      <c r="G34" s="973">
        <v>0</v>
      </c>
      <c r="H34" s="979"/>
      <c r="I34" s="980">
        <f>IF(G34="",0,(E34+G34)/2)</f>
        <v>0</v>
      </c>
    </row>
    <row r="35" spans="1:9" ht="16.5">
      <c r="A35" s="51">
        <f>+A34+1</f>
        <v>14</v>
      </c>
      <c r="C35" s="983" t="s">
        <v>306</v>
      </c>
      <c r="D35" s="1244" t="str">
        <f>"WS B-1 - Actual Stmt. AF Ln. " &amp;'WS B-1 - Actual Stmt. AF'!A183&amp;" (Note 1)"</f>
        <v>WS B-1 - Actual Stmt. AF Ln. 12 (Note 1)</v>
      </c>
      <c r="E35" s="977">
        <v>558495.87000000011</v>
      </c>
      <c r="F35" s="975"/>
      <c r="G35" s="977">
        <v>558495.86999999988</v>
      </c>
      <c r="H35" s="975"/>
      <c r="I35" s="981">
        <f>IF(G35="",0,(E35+G35)/2)</f>
        <v>558495.87</v>
      </c>
    </row>
    <row r="36" spans="1:9" ht="14.25">
      <c r="A36" s="51">
        <f>+A35+1</f>
        <v>15</v>
      </c>
      <c r="C36" s="983" t="s">
        <v>302</v>
      </c>
      <c r="D36" s="988" t="str">
        <f>"Ln "&amp;A33&amp;" - ln "&amp;A34&amp;" - ln "&amp;A35&amp;""</f>
        <v>Ln 12 - ln 13 - ln 14</v>
      </c>
      <c r="E36" s="982">
        <f>+E33-E34-E35</f>
        <v>2118812.3530032523</v>
      </c>
      <c r="F36" s="975"/>
      <c r="G36" s="982">
        <f>+G33-G34-G35</f>
        <v>2054220.5191426964</v>
      </c>
      <c r="H36" s="975"/>
      <c r="I36" s="980">
        <f>+I33-I34-I35</f>
        <v>2086516.4360729745</v>
      </c>
    </row>
    <row r="37" spans="1:9" ht="15.75">
      <c r="A37" s="51"/>
      <c r="C37" s="40"/>
      <c r="D37" s="983"/>
      <c r="E37" s="975"/>
      <c r="F37" s="975"/>
      <c r="G37" s="975"/>
      <c r="H37" s="975"/>
      <c r="I37" s="975"/>
    </row>
    <row r="38" spans="1:9" ht="14.25">
      <c r="A38" s="51"/>
      <c r="C38" s="42"/>
      <c r="D38" s="983"/>
      <c r="E38" s="975"/>
      <c r="F38" s="975"/>
      <c r="G38" s="975"/>
      <c r="H38" s="975"/>
      <c r="I38" s="975"/>
    </row>
    <row r="39" spans="1:9" ht="15.75">
      <c r="A39" s="51">
        <f>+A36+1</f>
        <v>16</v>
      </c>
      <c r="C39" s="40" t="s">
        <v>298</v>
      </c>
      <c r="D39" s="983"/>
      <c r="E39" s="975"/>
      <c r="F39" s="975"/>
      <c r="G39" s="975"/>
      <c r="H39" s="975"/>
      <c r="I39" s="975"/>
    </row>
    <row r="40" spans="1:9" ht="14.25">
      <c r="A40" s="51"/>
      <c r="C40" s="42"/>
      <c r="D40" s="983"/>
      <c r="E40" s="975"/>
      <c r="F40" s="975"/>
      <c r="G40" s="975"/>
      <c r="H40" s="975"/>
      <c r="I40" s="975"/>
    </row>
    <row r="41" spans="1:9" ht="14.25">
      <c r="A41" s="51">
        <f>+A39+1</f>
        <v>17</v>
      </c>
      <c r="C41" s="983" t="s">
        <v>301</v>
      </c>
      <c r="D41" s="987" t="s">
        <v>300</v>
      </c>
      <c r="E41" s="973">
        <v>2034214.1756451465</v>
      </c>
      <c r="F41" s="978"/>
      <c r="G41" s="973">
        <v>2454808.3916451451</v>
      </c>
      <c r="H41" s="979"/>
      <c r="I41" s="980">
        <f>IF(G41="",0,(E41+G41)/2)</f>
        <v>2244511.2836451456</v>
      </c>
    </row>
    <row r="42" spans="1:9" ht="14.25">
      <c r="A42" s="51">
        <f>+A41+1</f>
        <v>18</v>
      </c>
      <c r="C42" s="983" t="s">
        <v>305</v>
      </c>
      <c r="D42" s="1244" t="str">
        <f>"WS B-2 - Actual Stmt. AG Ln. " &amp;'WS B-2 - Actual Stmt. AG'!A110&amp;" (Note 1)"</f>
        <v>WS B-2 - Actual Stmt. AG Ln. 4 (Note 1)</v>
      </c>
      <c r="E42" s="973">
        <v>0</v>
      </c>
      <c r="F42" s="975"/>
      <c r="G42" s="973">
        <v>0</v>
      </c>
      <c r="H42" s="979"/>
      <c r="I42" s="980">
        <f>IF(G42="",0,(E42+G42)/2)</f>
        <v>0</v>
      </c>
    </row>
    <row r="43" spans="1:9" ht="16.5">
      <c r="A43" s="51">
        <f>+A42+1</f>
        <v>19</v>
      </c>
      <c r="C43" s="983" t="s">
        <v>306</v>
      </c>
      <c r="D43" s="1244" t="str">
        <f>"WS B-2 - Actual Stmt. AG Ln. " &amp;'WS B-2 - Actual Stmt. AG'!A109&amp;" (Note 1)"</f>
        <v>WS B-2 - Actual Stmt. AG Ln. 3 (Note 1)</v>
      </c>
      <c r="E43" s="977">
        <v>152297.30000000005</v>
      </c>
      <c r="F43" s="975"/>
      <c r="G43" s="977">
        <v>152297.29999999981</v>
      </c>
      <c r="H43" s="975"/>
      <c r="I43" s="981">
        <f>IF(G43="",0,(E43+G43)/2)</f>
        <v>152297.29999999993</v>
      </c>
    </row>
    <row r="44" spans="1:9" ht="14.25">
      <c r="A44" s="51">
        <f>+A43+1</f>
        <v>20</v>
      </c>
      <c r="C44" s="983" t="s">
        <v>302</v>
      </c>
      <c r="D44" s="988" t="str">
        <f>"Ln "&amp;A41&amp;" - ln "&amp;A42&amp;" - ln "&amp;A43&amp;""</f>
        <v>Ln 17 - ln 18 - ln 19</v>
      </c>
      <c r="E44" s="982">
        <f>+E41-E42-E43</f>
        <v>1881916.8756451465</v>
      </c>
      <c r="F44" s="975"/>
      <c r="G44" s="982">
        <f>+G41-G42-G43</f>
        <v>2302511.0916451453</v>
      </c>
      <c r="H44" s="975"/>
      <c r="I44" s="980">
        <f>+I41-I42-I43</f>
        <v>2092213.9836451458</v>
      </c>
    </row>
    <row r="45" spans="1:9" ht="14.25">
      <c r="A45" s="51"/>
      <c r="C45" s="42"/>
      <c r="D45" s="42"/>
      <c r="E45" s="975"/>
      <c r="F45" s="975"/>
      <c r="G45" s="975"/>
      <c r="H45" s="975"/>
      <c r="I45" s="975"/>
    </row>
    <row r="46" spans="1:9" ht="14.25">
      <c r="A46" s="51"/>
      <c r="C46" s="42"/>
      <c r="D46" s="42"/>
      <c r="E46" s="975"/>
      <c r="F46" s="975"/>
      <c r="G46" s="975"/>
      <c r="H46" s="975"/>
      <c r="I46" s="975"/>
    </row>
    <row r="47" spans="1:9" ht="15.75">
      <c r="A47" s="51">
        <f>+A44+1</f>
        <v>21</v>
      </c>
      <c r="C47" s="40" t="s">
        <v>299</v>
      </c>
      <c r="D47" s="42"/>
      <c r="E47" s="975"/>
      <c r="F47" s="975"/>
      <c r="G47" s="975"/>
      <c r="H47" s="975"/>
      <c r="I47" s="975"/>
    </row>
    <row r="48" spans="1:9" ht="14.25">
      <c r="A48" s="51"/>
      <c r="C48" s="42"/>
      <c r="D48" s="42"/>
      <c r="E48" s="975"/>
      <c r="F48" s="975"/>
      <c r="G48" s="975"/>
      <c r="H48" s="975"/>
      <c r="I48" s="975"/>
    </row>
    <row r="49" spans="1:10" ht="14.25">
      <c r="A49" s="51">
        <f>+A47+1</f>
        <v>22</v>
      </c>
      <c r="C49" s="983" t="s">
        <v>307</v>
      </c>
      <c r="D49" s="987" t="s">
        <v>261</v>
      </c>
      <c r="E49" s="973"/>
      <c r="F49" s="975"/>
      <c r="G49" s="973"/>
      <c r="H49" s="979"/>
      <c r="I49" s="980">
        <f>IF(G49="",0,(E49+G49)/2)</f>
        <v>0</v>
      </c>
    </row>
    <row r="50" spans="1:10" ht="16.5">
      <c r="A50" s="51">
        <f>+A49+1</f>
        <v>23</v>
      </c>
      <c r="C50" s="983" t="s">
        <v>308</v>
      </c>
      <c r="D50" s="974" t="s">
        <v>326</v>
      </c>
      <c r="E50" s="977"/>
      <c r="F50" s="975"/>
      <c r="G50" s="977"/>
      <c r="H50" s="979"/>
      <c r="I50" s="981">
        <f>IF(G50="",0,(E50+G50)/2)</f>
        <v>0</v>
      </c>
    </row>
    <row r="51" spans="1:10" ht="14.25">
      <c r="A51" s="51">
        <f>+A50+1</f>
        <v>24</v>
      </c>
      <c r="C51" s="983" t="s">
        <v>252</v>
      </c>
      <c r="D51" s="988" t="str">
        <f>"Ln "&amp;A49&amp;" - ln "&amp;A50&amp;""</f>
        <v>Ln 22 - ln 23</v>
      </c>
      <c r="E51" s="982">
        <f>+E49-E50</f>
        <v>0</v>
      </c>
      <c r="F51" s="975"/>
      <c r="G51" s="982">
        <f>+G49-G50</f>
        <v>0</v>
      </c>
      <c r="H51" s="979"/>
      <c r="I51" s="980">
        <f>+I49-I50</f>
        <v>0</v>
      </c>
    </row>
    <row r="52" spans="1:10" ht="14.25">
      <c r="A52" s="51">
        <f>+A51+1</f>
        <v>25</v>
      </c>
      <c r="C52" s="983" t="s">
        <v>302</v>
      </c>
      <c r="D52" s="988" t="str">
        <f>"WS B-1 - Actual Stmt. AF Ln. " &amp;'WS B-1 - Actual Stmt. AF'!A197&amp;" (Note 1)"</f>
        <v>WS B-1 - Actual Stmt. AF Ln. 20 (Note 1)</v>
      </c>
      <c r="E52" s="973"/>
      <c r="F52" s="978"/>
      <c r="G52" s="973"/>
      <c r="H52" s="979"/>
      <c r="I52" s="980">
        <f>IF(G52="",0,(E52+G52)/2)</f>
        <v>0</v>
      </c>
    </row>
    <row r="53" spans="1:10">
      <c r="A53" s="51"/>
      <c r="C53" s="42"/>
      <c r="D53" s="42"/>
    </row>
    <row r="54" spans="1:10" ht="14.25">
      <c r="A54" s="984" t="s">
        <v>325</v>
      </c>
      <c r="B54" s="985" t="s">
        <v>406</v>
      </c>
      <c r="C54" s="985" t="s">
        <v>764</v>
      </c>
      <c r="D54" s="42"/>
    </row>
    <row r="55" spans="1:10" ht="14.25">
      <c r="A55" s="974"/>
      <c r="B55" s="986"/>
      <c r="C55" s="983" t="s">
        <v>765</v>
      </c>
      <c r="D55" s="42"/>
    </row>
    <row r="56" spans="1:10" ht="14.25">
      <c r="A56" s="974" t="s">
        <v>258</v>
      </c>
      <c r="B56" s="986" t="s">
        <v>259</v>
      </c>
      <c r="C56" s="983"/>
      <c r="D56" s="42"/>
    </row>
    <row r="57" spans="1:10">
      <c r="B57" s="4"/>
      <c r="C57" s="4"/>
      <c r="D57" s="4"/>
      <c r="E57" s="4"/>
      <c r="F57" s="4"/>
      <c r="G57" s="4"/>
      <c r="H57" s="4"/>
      <c r="I57" s="4"/>
      <c r="J57" s="4"/>
    </row>
    <row r="58" spans="1:10">
      <c r="B58" s="4"/>
      <c r="C58" s="4"/>
      <c r="D58" s="4"/>
      <c r="E58" s="4"/>
      <c r="F58" s="4"/>
      <c r="G58" s="4"/>
      <c r="H58" s="4"/>
      <c r="I58" s="4"/>
      <c r="J58" s="4"/>
    </row>
    <row r="59" spans="1:10">
      <c r="B59" s="4"/>
      <c r="C59" s="4"/>
      <c r="D59" s="4"/>
      <c r="E59" s="4"/>
      <c r="F59" s="4"/>
      <c r="G59" s="4"/>
      <c r="H59" s="4"/>
      <c r="I59" s="4"/>
      <c r="J59" s="4"/>
    </row>
    <row r="60" spans="1:10">
      <c r="B60" s="4"/>
      <c r="C60" s="4"/>
      <c r="D60" s="4"/>
      <c r="E60" s="4"/>
      <c r="F60" s="4"/>
      <c r="G60" s="4"/>
      <c r="H60" s="4"/>
      <c r="I60" s="4"/>
      <c r="J60" s="4"/>
    </row>
    <row r="61" spans="1:10">
      <c r="B61" s="4"/>
      <c r="C61" s="4"/>
      <c r="D61" s="4"/>
      <c r="E61" s="4"/>
      <c r="F61" s="4"/>
      <c r="G61" s="4"/>
      <c r="H61" s="4"/>
      <c r="I61" s="4"/>
      <c r="J61" s="4"/>
    </row>
    <row r="62" spans="1:10">
      <c r="B62" s="4"/>
      <c r="C62" s="4"/>
      <c r="D62" s="4"/>
      <c r="E62" s="4"/>
      <c r="F62" s="4"/>
      <c r="G62" s="4"/>
      <c r="H62" s="4"/>
      <c r="I62" s="4"/>
      <c r="J62" s="4"/>
    </row>
    <row r="63" spans="1:10">
      <c r="B63" s="4"/>
      <c r="C63" s="4"/>
      <c r="D63" s="4"/>
      <c r="E63" s="4"/>
      <c r="F63" s="4"/>
      <c r="G63" s="4"/>
      <c r="H63" s="4"/>
      <c r="I63" s="4"/>
      <c r="J63" s="4"/>
    </row>
    <row r="64" spans="1:10">
      <c r="B64" s="4"/>
      <c r="C64" s="4"/>
      <c r="D64" s="4"/>
      <c r="E64" s="4"/>
      <c r="F64" s="4"/>
      <c r="G64" s="4"/>
      <c r="H64" s="4"/>
      <c r="I64" s="4"/>
      <c r="J64" s="4"/>
    </row>
    <row r="65" spans="2:10">
      <c r="B65" s="4"/>
      <c r="C65" s="4"/>
      <c r="D65" s="4"/>
      <c r="E65" s="4"/>
      <c r="F65" s="4"/>
      <c r="G65" s="4"/>
      <c r="H65" s="4"/>
      <c r="I65" s="4"/>
      <c r="J65" s="4"/>
    </row>
    <row r="66" spans="2:10">
      <c r="B66" s="4"/>
      <c r="C66" s="4"/>
      <c r="D66" s="4"/>
      <c r="E66" s="4"/>
      <c r="F66" s="4"/>
      <c r="G66" s="4"/>
      <c r="H66" s="4"/>
      <c r="I66" s="4"/>
      <c r="J66" s="4"/>
    </row>
    <row r="67" spans="2:10">
      <c r="B67" s="4"/>
      <c r="C67" s="4"/>
      <c r="D67" s="4"/>
      <c r="E67" s="4"/>
      <c r="F67" s="4"/>
      <c r="G67" s="4"/>
      <c r="H67" s="4"/>
      <c r="I67" s="4"/>
      <c r="J67" s="4"/>
    </row>
    <row r="68" spans="2:10">
      <c r="B68" s="4"/>
      <c r="C68" s="4"/>
      <c r="D68" s="4"/>
      <c r="E68" s="4"/>
      <c r="F68" s="4"/>
      <c r="G68" s="4"/>
      <c r="H68" s="4"/>
      <c r="I68" s="4"/>
      <c r="J68" s="4"/>
    </row>
    <row r="69" spans="2:10">
      <c r="B69" s="4"/>
      <c r="C69" s="4"/>
      <c r="D69" s="4"/>
      <c r="E69" s="4"/>
      <c r="F69" s="4"/>
      <c r="G69" s="4"/>
      <c r="H69" s="4"/>
      <c r="I69" s="4"/>
      <c r="J69" s="4"/>
    </row>
    <row r="70" spans="2:10">
      <c r="B70" s="4"/>
      <c r="C70" s="4"/>
      <c r="D70" s="4"/>
      <c r="E70" s="4"/>
      <c r="F70" s="4"/>
      <c r="G70" s="4"/>
      <c r="H70" s="4"/>
      <c r="I70" s="4"/>
      <c r="J70" s="4"/>
    </row>
    <row r="71" spans="2:10">
      <c r="B71" s="4"/>
      <c r="C71" s="4"/>
      <c r="D71" s="4"/>
      <c r="E71" s="4"/>
      <c r="F71" s="4"/>
      <c r="G71" s="4"/>
      <c r="H71" s="4"/>
      <c r="I71" s="4"/>
      <c r="J71" s="4"/>
    </row>
    <row r="72" spans="2:10">
      <c r="B72" s="4"/>
      <c r="C72" s="4"/>
      <c r="D72" s="4"/>
      <c r="E72" s="4"/>
      <c r="F72" s="4"/>
      <c r="G72" s="4"/>
      <c r="H72" s="4"/>
      <c r="I72" s="4"/>
      <c r="J72" s="4"/>
    </row>
    <row r="73" spans="2:10">
      <c r="B73" s="4"/>
      <c r="C73" s="4"/>
      <c r="D73" s="4"/>
      <c r="E73" s="4"/>
      <c r="F73" s="4"/>
      <c r="G73" s="4"/>
      <c r="H73" s="4"/>
      <c r="I73" s="4"/>
      <c r="J73" s="4"/>
    </row>
    <row r="74" spans="2:10">
      <c r="B74" s="4"/>
      <c r="C74" s="4"/>
      <c r="D74" s="4"/>
      <c r="E74" s="4"/>
      <c r="F74" s="4"/>
      <c r="G74" s="4"/>
      <c r="H74" s="4"/>
      <c r="I74" s="4"/>
      <c r="J74" s="4"/>
    </row>
    <row r="75" spans="2:10">
      <c r="B75" s="4"/>
      <c r="C75" s="4"/>
      <c r="D75" s="4"/>
      <c r="E75" s="4"/>
      <c r="F75" s="4"/>
      <c r="G75" s="4"/>
      <c r="H75" s="4"/>
      <c r="I75" s="4"/>
      <c r="J75" s="4"/>
    </row>
    <row r="76" spans="2:10">
      <c r="B76" s="4"/>
      <c r="C76" s="4"/>
      <c r="D76" s="4"/>
      <c r="E76" s="4"/>
      <c r="F76" s="4"/>
      <c r="G76" s="4"/>
      <c r="H76" s="4"/>
      <c r="I76" s="4"/>
      <c r="J76" s="4"/>
    </row>
    <row r="77" spans="2:10">
      <c r="B77" s="4"/>
      <c r="C77" s="4"/>
      <c r="D77" s="4"/>
      <c r="E77" s="4"/>
      <c r="F77" s="4"/>
      <c r="G77" s="4"/>
      <c r="H77" s="4"/>
      <c r="I77" s="4"/>
      <c r="J77" s="4"/>
    </row>
    <row r="78" spans="2:10">
      <c r="B78" s="4"/>
      <c r="C78" s="4"/>
      <c r="D78" s="4"/>
      <c r="E78" s="4"/>
      <c r="F78" s="4"/>
      <c r="G78" s="4"/>
      <c r="H78" s="4"/>
      <c r="I78" s="4"/>
      <c r="J78" s="4"/>
    </row>
    <row r="79" spans="2:10">
      <c r="B79" s="4"/>
      <c r="C79" s="4"/>
      <c r="D79" s="4"/>
      <c r="E79" s="4"/>
      <c r="F79" s="4"/>
      <c r="G79" s="4"/>
      <c r="H79" s="4"/>
      <c r="I79" s="4"/>
      <c r="J79" s="4"/>
    </row>
    <row r="80" spans="2:10">
      <c r="B80" s="4"/>
      <c r="C80" s="4"/>
      <c r="D80" s="4"/>
      <c r="E80" s="4"/>
      <c r="F80" s="4"/>
      <c r="G80" s="4"/>
      <c r="H80" s="4"/>
      <c r="I80" s="4"/>
      <c r="J80" s="4"/>
    </row>
    <row r="81" spans="2:10">
      <c r="B81" s="4"/>
      <c r="C81" s="4"/>
      <c r="D81" s="4"/>
      <c r="E81" s="4"/>
      <c r="F81" s="4"/>
      <c r="G81" s="4"/>
      <c r="H81" s="4"/>
      <c r="I81" s="4"/>
      <c r="J81" s="4"/>
    </row>
    <row r="82" spans="2:10">
      <c r="B82" s="4"/>
      <c r="C82" s="4"/>
      <c r="D82" s="4"/>
      <c r="E82" s="4"/>
      <c r="F82" s="4"/>
      <c r="G82" s="4"/>
      <c r="H82" s="4"/>
      <c r="I82" s="4"/>
      <c r="J82" s="4"/>
    </row>
    <row r="83" spans="2:10">
      <c r="B83" s="4"/>
      <c r="C83" s="4"/>
      <c r="D83" s="4"/>
      <c r="E83" s="4"/>
      <c r="F83" s="4"/>
      <c r="G83" s="4"/>
      <c r="H83" s="4"/>
      <c r="I83" s="4"/>
      <c r="J83" s="4"/>
    </row>
    <row r="84" spans="2:10">
      <c r="B84" s="4"/>
      <c r="C84" s="4"/>
      <c r="D84" s="4"/>
      <c r="E84" s="4"/>
      <c r="F84" s="4"/>
      <c r="G84" s="4"/>
      <c r="H84" s="4"/>
      <c r="I84" s="4"/>
      <c r="J84" s="4"/>
    </row>
    <row r="85" spans="2:10">
      <c r="B85" s="4"/>
      <c r="C85" s="4"/>
      <c r="D85" s="4"/>
      <c r="E85" s="4"/>
      <c r="F85" s="4"/>
      <c r="G85" s="4"/>
      <c r="H85" s="4"/>
      <c r="I85" s="4"/>
      <c r="J85" s="4"/>
    </row>
    <row r="86" spans="2:10">
      <c r="B86" s="4"/>
      <c r="C86" s="4"/>
      <c r="D86" s="4"/>
      <c r="E86" s="4"/>
      <c r="F86" s="4"/>
      <c r="G86" s="4"/>
      <c r="H86" s="4"/>
      <c r="I86" s="4"/>
      <c r="J86" s="4"/>
    </row>
    <row r="87" spans="2:10">
      <c r="B87" s="4"/>
      <c r="C87" s="4"/>
      <c r="D87" s="4"/>
      <c r="E87" s="4"/>
      <c r="F87" s="4"/>
      <c r="G87" s="4"/>
      <c r="H87" s="4"/>
      <c r="I87" s="4"/>
      <c r="J87" s="4"/>
    </row>
    <row r="88" spans="2:10">
      <c r="B88" s="4"/>
      <c r="C88" s="4"/>
      <c r="D88" s="4"/>
      <c r="E88" s="4"/>
      <c r="F88" s="4"/>
      <c r="G88" s="4"/>
      <c r="H88" s="4"/>
      <c r="I88" s="4"/>
      <c r="J88" s="4"/>
    </row>
    <row r="89" spans="2:10">
      <c r="B89" s="4"/>
      <c r="C89" s="4"/>
      <c r="D89" s="4"/>
      <c r="E89" s="4"/>
      <c r="F89" s="4"/>
      <c r="G89" s="4"/>
      <c r="H89" s="4"/>
      <c r="I89" s="4"/>
      <c r="J89" s="4"/>
    </row>
    <row r="90" spans="2:10">
      <c r="B90" s="4"/>
      <c r="C90" s="4"/>
      <c r="D90" s="4"/>
      <c r="E90" s="4"/>
      <c r="F90" s="4"/>
      <c r="G90" s="4"/>
      <c r="H90" s="4"/>
      <c r="I90" s="4"/>
      <c r="J90" s="4"/>
    </row>
    <row r="91" spans="2:10">
      <c r="B91" s="4"/>
      <c r="C91" s="4"/>
      <c r="D91" s="4"/>
      <c r="E91" s="4"/>
      <c r="F91" s="4"/>
      <c r="G91" s="4"/>
      <c r="H91" s="4"/>
      <c r="I91" s="4"/>
      <c r="J91" s="4"/>
    </row>
    <row r="92" spans="2:10">
      <c r="B92" s="4"/>
      <c r="C92" s="4"/>
      <c r="D92" s="4"/>
      <c r="E92" s="4"/>
      <c r="F92" s="4"/>
      <c r="G92" s="4"/>
      <c r="H92" s="4"/>
      <c r="I92" s="4"/>
      <c r="J92" s="4"/>
    </row>
    <row r="93" spans="2:10">
      <c r="B93" s="4"/>
      <c r="C93" s="4"/>
      <c r="D93" s="4"/>
      <c r="E93" s="4"/>
      <c r="F93" s="4"/>
      <c r="G93" s="4"/>
      <c r="H93" s="4"/>
      <c r="I93" s="4"/>
      <c r="J93" s="4"/>
    </row>
    <row r="94" spans="2:10">
      <c r="B94" s="4"/>
      <c r="C94" s="4"/>
      <c r="D94" s="4"/>
      <c r="E94" s="4"/>
      <c r="F94" s="4"/>
      <c r="G94" s="4"/>
      <c r="H94" s="4"/>
      <c r="I94" s="4"/>
      <c r="J94" s="4"/>
    </row>
    <row r="95" spans="2:10">
      <c r="B95" s="4"/>
      <c r="C95" s="4"/>
      <c r="D95" s="4"/>
      <c r="E95" s="4"/>
      <c r="F95" s="4"/>
      <c r="G95" s="4"/>
      <c r="H95" s="4"/>
      <c r="I95" s="4"/>
      <c r="J95" s="4"/>
    </row>
    <row r="96" spans="2:10">
      <c r="B96" s="4"/>
      <c r="C96" s="4"/>
      <c r="D96" s="4"/>
      <c r="E96" s="4"/>
      <c r="F96" s="4"/>
      <c r="G96" s="4"/>
      <c r="H96" s="4"/>
      <c r="I96" s="4"/>
      <c r="J96" s="4"/>
    </row>
    <row r="97" spans="2:10">
      <c r="B97" s="4"/>
      <c r="C97" s="4"/>
      <c r="D97" s="4"/>
      <c r="E97" s="4"/>
      <c r="F97" s="4"/>
      <c r="G97" s="4"/>
      <c r="H97" s="4"/>
      <c r="I97" s="4"/>
      <c r="J97" s="4"/>
    </row>
    <row r="98" spans="2:10">
      <c r="B98" s="4"/>
      <c r="C98" s="4"/>
      <c r="D98" s="4"/>
      <c r="E98" s="4"/>
      <c r="F98" s="4"/>
      <c r="G98" s="4"/>
      <c r="H98" s="4"/>
      <c r="I98" s="4"/>
      <c r="J98" s="4"/>
    </row>
    <row r="99" spans="2:10">
      <c r="B99" s="4"/>
      <c r="C99" s="4"/>
      <c r="D99" s="4"/>
      <c r="E99" s="4"/>
      <c r="F99" s="4"/>
      <c r="G99" s="4"/>
      <c r="H99" s="4"/>
      <c r="I99" s="4"/>
      <c r="J99" s="4"/>
    </row>
    <row r="100" spans="2:10">
      <c r="B100" s="4"/>
      <c r="C100" s="4"/>
      <c r="D100" s="4"/>
      <c r="E100" s="4"/>
      <c r="F100" s="4"/>
      <c r="G100" s="4"/>
      <c r="H100" s="4"/>
      <c r="I100" s="4"/>
      <c r="J100" s="4"/>
    </row>
    <row r="101" spans="2:10">
      <c r="B101" s="4"/>
      <c r="C101" s="4"/>
      <c r="D101" s="4"/>
      <c r="E101" s="4"/>
      <c r="F101" s="4"/>
      <c r="G101" s="4"/>
      <c r="H101" s="4"/>
      <c r="I101" s="4"/>
      <c r="J101" s="4"/>
    </row>
    <row r="102" spans="2:10">
      <c r="B102" s="4"/>
      <c r="C102" s="4"/>
      <c r="D102" s="4"/>
      <c r="E102" s="4"/>
      <c r="F102" s="4"/>
      <c r="G102" s="4"/>
      <c r="H102" s="4"/>
      <c r="I102" s="4"/>
      <c r="J102" s="4"/>
    </row>
    <row r="103" spans="2:10">
      <c r="B103" s="4"/>
      <c r="C103" s="4"/>
      <c r="D103" s="4"/>
      <c r="E103" s="4"/>
      <c r="F103" s="4"/>
      <c r="G103" s="4"/>
      <c r="H103" s="4"/>
      <c r="I103" s="4"/>
      <c r="J103" s="4"/>
    </row>
    <row r="104" spans="2:10">
      <c r="B104" s="4"/>
      <c r="C104" s="4"/>
      <c r="D104" s="4"/>
      <c r="E104" s="4"/>
      <c r="F104" s="4"/>
      <c r="G104" s="4"/>
      <c r="H104" s="4"/>
      <c r="I104" s="4"/>
      <c r="J104" s="4"/>
    </row>
    <row r="105" spans="2:10">
      <c r="B105" s="4"/>
      <c r="C105" s="4"/>
      <c r="D105" s="4"/>
      <c r="E105" s="4"/>
      <c r="F105" s="4"/>
      <c r="G105" s="4"/>
      <c r="H105" s="4"/>
      <c r="I105" s="4"/>
      <c r="J105" s="4"/>
    </row>
    <row r="106" spans="2:10">
      <c r="B106" s="4"/>
      <c r="C106" s="4"/>
      <c r="D106" s="4"/>
      <c r="E106" s="4"/>
      <c r="F106" s="4"/>
      <c r="G106" s="4"/>
      <c r="H106" s="4"/>
      <c r="I106" s="4"/>
      <c r="J106" s="4"/>
    </row>
    <row r="107" spans="2:10">
      <c r="B107" s="4"/>
      <c r="C107" s="4"/>
      <c r="D107" s="4"/>
      <c r="E107" s="4"/>
      <c r="F107" s="4"/>
      <c r="G107" s="4"/>
      <c r="H107" s="4"/>
      <c r="I107" s="4"/>
      <c r="J107" s="4"/>
    </row>
    <row r="108" spans="2:10">
      <c r="B108" s="4"/>
      <c r="C108" s="4"/>
      <c r="D108" s="4"/>
      <c r="E108" s="4"/>
      <c r="F108" s="4"/>
      <c r="G108" s="4"/>
      <c r="H108" s="4"/>
      <c r="I108" s="4"/>
      <c r="J108" s="4"/>
    </row>
    <row r="109" spans="2:10">
      <c r="B109" s="4"/>
      <c r="C109" s="4"/>
      <c r="D109" s="4"/>
      <c r="E109" s="4"/>
      <c r="F109" s="4"/>
      <c r="G109" s="4"/>
      <c r="H109" s="4"/>
      <c r="I109" s="4"/>
      <c r="J109" s="4"/>
    </row>
    <row r="110" spans="2:10">
      <c r="B110" s="4"/>
      <c r="C110" s="4"/>
      <c r="D110" s="4"/>
      <c r="E110" s="4"/>
      <c r="F110" s="4"/>
      <c r="G110" s="4"/>
      <c r="H110" s="4"/>
      <c r="I110" s="4"/>
      <c r="J110" s="4"/>
    </row>
    <row r="111" spans="2:10">
      <c r="B111" s="4"/>
      <c r="C111" s="4"/>
      <c r="D111" s="4"/>
      <c r="E111" s="4"/>
      <c r="F111" s="4"/>
      <c r="G111" s="4"/>
      <c r="H111" s="4"/>
      <c r="I111" s="4"/>
      <c r="J111" s="4"/>
    </row>
    <row r="112" spans="2:10">
      <c r="B112" s="4"/>
      <c r="C112" s="4"/>
      <c r="D112" s="4"/>
      <c r="E112" s="4"/>
      <c r="F112" s="4"/>
      <c r="G112" s="4"/>
      <c r="H112" s="4"/>
      <c r="I112" s="4"/>
      <c r="J112" s="4"/>
    </row>
    <row r="113" spans="2:10">
      <c r="B113" s="4"/>
      <c r="C113" s="4"/>
      <c r="D113" s="4"/>
      <c r="E113" s="4"/>
      <c r="F113" s="4"/>
      <c r="G113" s="4"/>
      <c r="H113" s="4"/>
      <c r="I113" s="4"/>
      <c r="J113" s="4"/>
    </row>
    <row r="114" spans="2:10">
      <c r="B114" s="4"/>
      <c r="C114" s="4"/>
      <c r="D114" s="4"/>
      <c r="E114" s="4"/>
      <c r="F114" s="4"/>
      <c r="G114" s="4"/>
      <c r="H114" s="4"/>
      <c r="I114" s="4"/>
      <c r="J114" s="4"/>
    </row>
    <row r="115" spans="2:10">
      <c r="B115" s="4"/>
      <c r="C115" s="4"/>
      <c r="D115" s="4"/>
      <c r="E115" s="4"/>
      <c r="F115" s="4"/>
      <c r="G115" s="4"/>
      <c r="H115" s="4"/>
      <c r="I115" s="4"/>
      <c r="J115" s="4"/>
    </row>
    <row r="116" spans="2:10">
      <c r="B116" s="4"/>
      <c r="C116" s="4"/>
      <c r="D116" s="4"/>
      <c r="E116" s="4"/>
      <c r="F116" s="4"/>
      <c r="G116" s="4"/>
      <c r="H116" s="4"/>
      <c r="I116" s="4"/>
      <c r="J116" s="4"/>
    </row>
    <row r="117" spans="2:10">
      <c r="B117" s="4"/>
      <c r="C117" s="4"/>
      <c r="D117" s="4"/>
      <c r="E117" s="4"/>
      <c r="F117" s="4"/>
      <c r="G117" s="4"/>
      <c r="H117" s="4"/>
      <c r="I117" s="4"/>
      <c r="J117" s="4"/>
    </row>
    <row r="118" spans="2:10">
      <c r="B118" s="4"/>
      <c r="C118" s="4"/>
      <c r="D118" s="4"/>
      <c r="E118" s="4"/>
      <c r="F118" s="4"/>
      <c r="G118" s="4"/>
      <c r="H118" s="4"/>
      <c r="I118" s="4"/>
      <c r="J118" s="4"/>
    </row>
    <row r="119" spans="2:10">
      <c r="B119" s="4"/>
      <c r="C119" s="4"/>
      <c r="D119" s="4"/>
      <c r="E119" s="4"/>
      <c r="F119" s="4"/>
      <c r="G119" s="4"/>
      <c r="H119" s="4"/>
      <c r="I119" s="4"/>
      <c r="J119" s="4"/>
    </row>
    <row r="120" spans="2:10">
      <c r="B120" s="4"/>
      <c r="C120" s="4"/>
      <c r="D120" s="4"/>
      <c r="E120" s="4"/>
      <c r="F120" s="4"/>
      <c r="G120" s="4"/>
      <c r="H120" s="4"/>
      <c r="I120" s="4"/>
      <c r="J120" s="4"/>
    </row>
    <row r="121" spans="2:10">
      <c r="B121" s="4"/>
      <c r="C121" s="4"/>
      <c r="D121" s="4"/>
      <c r="E121" s="4"/>
      <c r="F121" s="4"/>
      <c r="G121" s="4"/>
      <c r="H121" s="4"/>
      <c r="I121" s="4"/>
      <c r="J121" s="4"/>
    </row>
    <row r="122" spans="2:10">
      <c r="B122" s="4"/>
      <c r="C122" s="4"/>
      <c r="D122" s="4"/>
      <c r="E122" s="4"/>
      <c r="F122" s="4"/>
      <c r="G122" s="4"/>
      <c r="H122" s="4"/>
      <c r="I122" s="4"/>
      <c r="J122" s="4"/>
    </row>
    <row r="123" spans="2:10">
      <c r="B123" s="4"/>
      <c r="C123" s="4"/>
      <c r="D123" s="4"/>
      <c r="E123" s="4"/>
      <c r="F123" s="4"/>
      <c r="G123" s="4"/>
      <c r="H123" s="4"/>
      <c r="I123" s="4"/>
      <c r="J123" s="4"/>
    </row>
    <row r="124" spans="2:10">
      <c r="B124" s="4"/>
      <c r="C124" s="4"/>
      <c r="D124" s="4"/>
      <c r="E124" s="4"/>
      <c r="F124" s="4"/>
      <c r="G124" s="4"/>
      <c r="H124" s="4"/>
      <c r="I124" s="4"/>
      <c r="J124" s="4"/>
    </row>
    <row r="125" spans="2:10">
      <c r="B125" s="4"/>
      <c r="C125" s="4"/>
      <c r="D125" s="4"/>
      <c r="E125" s="4"/>
      <c r="F125" s="4"/>
      <c r="G125" s="4"/>
      <c r="H125" s="4"/>
      <c r="I125" s="4"/>
      <c r="J125" s="4"/>
    </row>
    <row r="126" spans="2:10">
      <c r="B126" s="4"/>
      <c r="C126" s="4"/>
      <c r="D126" s="4"/>
      <c r="E126" s="4"/>
      <c r="F126" s="4"/>
      <c r="G126" s="4"/>
      <c r="H126" s="4"/>
      <c r="I126" s="4"/>
      <c r="J126" s="4"/>
    </row>
    <row r="127" spans="2:10">
      <c r="B127" s="4"/>
      <c r="C127" s="4"/>
      <c r="D127" s="4"/>
      <c r="E127" s="4"/>
      <c r="F127" s="4"/>
      <c r="G127" s="4"/>
      <c r="H127" s="4"/>
      <c r="I127" s="4"/>
      <c r="J127" s="4"/>
    </row>
    <row r="128" spans="2:10">
      <c r="B128" s="4"/>
      <c r="C128" s="4"/>
      <c r="D128" s="4"/>
      <c r="E128" s="4"/>
      <c r="F128" s="4"/>
      <c r="G128" s="4"/>
      <c r="H128" s="4"/>
      <c r="I128" s="4"/>
      <c r="J128" s="4"/>
    </row>
    <row r="129" spans="2:10">
      <c r="B129" s="4"/>
      <c r="C129" s="4"/>
      <c r="D129" s="4"/>
      <c r="E129" s="4"/>
      <c r="F129" s="4"/>
      <c r="G129" s="4"/>
      <c r="H129" s="4"/>
      <c r="I129" s="4"/>
      <c r="J129" s="4"/>
    </row>
    <row r="130" spans="2:10">
      <c r="B130" s="4"/>
      <c r="C130" s="4"/>
      <c r="D130" s="4"/>
      <c r="E130" s="4"/>
      <c r="F130" s="4"/>
      <c r="G130" s="4"/>
      <c r="H130" s="4"/>
      <c r="I130" s="4"/>
      <c r="J130" s="4"/>
    </row>
    <row r="131" spans="2:10">
      <c r="B131" s="4"/>
      <c r="C131" s="4"/>
      <c r="D131" s="4"/>
      <c r="E131" s="4"/>
      <c r="F131" s="4"/>
      <c r="G131" s="4"/>
      <c r="H131" s="4"/>
      <c r="I131" s="4"/>
      <c r="J131" s="4"/>
    </row>
    <row r="132" spans="2:10">
      <c r="B132" s="4"/>
      <c r="C132" s="4"/>
      <c r="D132" s="4"/>
      <c r="E132" s="4"/>
      <c r="F132" s="4"/>
      <c r="G132" s="4"/>
      <c r="H132" s="4"/>
      <c r="I132" s="4"/>
      <c r="J132" s="4"/>
    </row>
    <row r="133" spans="2:10">
      <c r="B133" s="4"/>
      <c r="C133" s="4"/>
      <c r="D133" s="4"/>
      <c r="E133" s="4"/>
      <c r="F133" s="4"/>
      <c r="G133" s="4"/>
      <c r="H133" s="4"/>
      <c r="I133" s="4"/>
      <c r="J133" s="4"/>
    </row>
    <row r="134" spans="2:10">
      <c r="B134" s="4"/>
      <c r="C134" s="4"/>
      <c r="D134" s="4"/>
      <c r="E134" s="4"/>
      <c r="F134" s="4"/>
      <c r="G134" s="4"/>
      <c r="H134" s="4"/>
      <c r="I134" s="4"/>
      <c r="J134" s="4"/>
    </row>
    <row r="135" spans="2:10">
      <c r="B135" s="4"/>
      <c r="C135" s="4"/>
      <c r="D135" s="4"/>
      <c r="E135" s="4"/>
      <c r="F135" s="4"/>
      <c r="G135" s="4"/>
      <c r="H135" s="4"/>
      <c r="I135" s="4"/>
      <c r="J135" s="4"/>
    </row>
    <row r="136" spans="2:10">
      <c r="B136" s="4"/>
      <c r="C136" s="4"/>
      <c r="D136" s="4"/>
      <c r="E136" s="4"/>
      <c r="F136" s="4"/>
      <c r="G136" s="4"/>
      <c r="H136" s="4"/>
      <c r="I136" s="4"/>
      <c r="J136" s="4"/>
    </row>
    <row r="137" spans="2:10">
      <c r="B137" s="4"/>
      <c r="C137" s="4"/>
      <c r="D137" s="4"/>
      <c r="E137" s="4"/>
      <c r="F137" s="4"/>
      <c r="G137" s="4"/>
      <c r="H137" s="4"/>
      <c r="I137" s="4"/>
      <c r="J137" s="4"/>
    </row>
    <row r="138" spans="2:10">
      <c r="B138" s="4"/>
      <c r="C138" s="4"/>
      <c r="D138" s="4"/>
      <c r="E138" s="4"/>
      <c r="F138" s="4"/>
      <c r="G138" s="4"/>
      <c r="H138" s="4"/>
      <c r="I138" s="4"/>
      <c r="J138" s="4"/>
    </row>
    <row r="139" spans="2:10">
      <c r="B139" s="4"/>
      <c r="C139" s="4"/>
      <c r="D139" s="4"/>
      <c r="E139" s="4"/>
      <c r="F139" s="4"/>
      <c r="G139" s="4"/>
      <c r="H139" s="4"/>
      <c r="I139" s="4"/>
      <c r="J139" s="4"/>
    </row>
    <row r="140" spans="2:10">
      <c r="B140" s="4"/>
      <c r="C140" s="4"/>
      <c r="D140" s="4"/>
      <c r="E140" s="4"/>
      <c r="F140" s="4"/>
      <c r="G140" s="4"/>
      <c r="H140" s="4"/>
      <c r="I140" s="4"/>
      <c r="J140" s="4"/>
    </row>
    <row r="141" spans="2:10">
      <c r="B141" s="4"/>
      <c r="C141" s="4"/>
      <c r="D141" s="4"/>
      <c r="E141" s="4"/>
      <c r="F141" s="4"/>
      <c r="G141" s="4"/>
      <c r="H141" s="4"/>
      <c r="I141" s="4"/>
      <c r="J141" s="4"/>
    </row>
    <row r="142" spans="2:10">
      <c r="B142" s="4"/>
      <c r="C142" s="4"/>
      <c r="D142" s="4"/>
      <c r="E142" s="4"/>
      <c r="F142" s="4"/>
      <c r="G142" s="4"/>
      <c r="H142" s="4"/>
      <c r="I142" s="4"/>
      <c r="J142" s="4"/>
    </row>
    <row r="143" spans="2:10">
      <c r="B143" s="4"/>
      <c r="C143" s="4"/>
      <c r="D143" s="4"/>
      <c r="E143" s="4"/>
      <c r="F143" s="4"/>
      <c r="G143" s="4"/>
      <c r="H143" s="4"/>
      <c r="I143" s="4"/>
      <c r="J143" s="4"/>
    </row>
    <row r="144" spans="2:10">
      <c r="B144" s="4"/>
      <c r="C144" s="4"/>
      <c r="D144" s="4"/>
      <c r="E144" s="4"/>
      <c r="F144" s="4"/>
      <c r="G144" s="4"/>
      <c r="H144" s="4"/>
      <c r="I144" s="4"/>
      <c r="J144" s="4"/>
    </row>
    <row r="145" spans="2:10">
      <c r="B145" s="4"/>
      <c r="C145" s="4"/>
      <c r="D145" s="4"/>
      <c r="E145" s="4"/>
      <c r="F145" s="4"/>
      <c r="G145" s="4"/>
      <c r="H145" s="4"/>
      <c r="I145" s="4"/>
      <c r="J145" s="4"/>
    </row>
    <row r="146" spans="2:10">
      <c r="B146" s="4"/>
      <c r="C146" s="4"/>
      <c r="D146" s="4"/>
      <c r="E146" s="4"/>
      <c r="F146" s="4"/>
      <c r="G146" s="4"/>
      <c r="H146" s="4"/>
      <c r="I146" s="4"/>
      <c r="J146" s="4"/>
    </row>
    <row r="147" spans="2:10">
      <c r="B147" s="4"/>
      <c r="C147" s="4"/>
      <c r="D147" s="4"/>
      <c r="E147" s="4"/>
      <c r="F147" s="4"/>
      <c r="G147" s="4"/>
      <c r="H147" s="4"/>
      <c r="I147" s="4"/>
      <c r="J147" s="4"/>
    </row>
    <row r="148" spans="2:10">
      <c r="B148" s="4"/>
      <c r="C148" s="4"/>
      <c r="D148" s="4"/>
      <c r="E148" s="4"/>
      <c r="F148" s="4"/>
      <c r="G148" s="4"/>
      <c r="H148" s="4"/>
      <c r="I148" s="4"/>
      <c r="J148" s="4"/>
    </row>
    <row r="149" spans="2:10">
      <c r="B149" s="4"/>
      <c r="C149" s="4"/>
      <c r="D149" s="4"/>
      <c r="E149" s="4"/>
      <c r="F149" s="4"/>
      <c r="G149" s="4"/>
      <c r="H149" s="4"/>
      <c r="I149" s="4"/>
      <c r="J149" s="4"/>
    </row>
    <row r="150" spans="2:10">
      <c r="B150" s="4"/>
      <c r="C150" s="4"/>
      <c r="D150" s="4"/>
      <c r="E150" s="4"/>
      <c r="F150" s="4"/>
      <c r="G150" s="4"/>
      <c r="H150" s="4"/>
      <c r="I150" s="4"/>
      <c r="J150" s="4"/>
    </row>
    <row r="151" spans="2:10">
      <c r="B151" s="4"/>
      <c r="C151" s="4"/>
      <c r="D151" s="4"/>
      <c r="E151" s="4"/>
      <c r="F151" s="4"/>
      <c r="G151" s="4"/>
      <c r="H151" s="4"/>
      <c r="I151" s="4"/>
      <c r="J151" s="4"/>
    </row>
    <row r="152" spans="2:10">
      <c r="B152" s="4"/>
      <c r="C152" s="4"/>
      <c r="D152" s="4"/>
      <c r="E152" s="4"/>
      <c r="F152" s="4"/>
      <c r="G152" s="4"/>
      <c r="H152" s="4"/>
      <c r="I152" s="4"/>
      <c r="J152" s="4"/>
    </row>
    <row r="153" spans="2:10">
      <c r="B153" s="4"/>
      <c r="C153" s="4"/>
      <c r="D153" s="4"/>
      <c r="E153" s="4"/>
      <c r="F153" s="4"/>
      <c r="G153" s="4"/>
      <c r="H153" s="4"/>
      <c r="I153" s="4"/>
      <c r="J153" s="4"/>
    </row>
    <row r="154" spans="2:10">
      <c r="B154" s="4"/>
      <c r="C154" s="4"/>
      <c r="D154" s="4"/>
      <c r="E154" s="4"/>
      <c r="F154" s="4"/>
      <c r="G154" s="4"/>
      <c r="H154" s="4"/>
      <c r="I154" s="4"/>
      <c r="J154" s="4"/>
    </row>
    <row r="155" spans="2:10">
      <c r="B155" s="4"/>
      <c r="C155" s="4"/>
      <c r="D155" s="4"/>
      <c r="E155" s="4"/>
      <c r="F155" s="4"/>
      <c r="G155" s="4"/>
      <c r="H155" s="4"/>
      <c r="I155" s="4"/>
      <c r="J155" s="4"/>
    </row>
    <row r="156" spans="2:10">
      <c r="B156" s="4"/>
      <c r="C156" s="4"/>
      <c r="D156" s="4"/>
      <c r="E156" s="4"/>
      <c r="F156" s="4"/>
      <c r="G156" s="4"/>
      <c r="H156" s="4"/>
      <c r="I156" s="4"/>
      <c r="J156" s="4"/>
    </row>
    <row r="157" spans="2:10">
      <c r="B157" s="4"/>
      <c r="C157" s="4"/>
      <c r="D157" s="4"/>
      <c r="E157" s="4"/>
      <c r="F157" s="4"/>
      <c r="G157" s="4"/>
      <c r="H157" s="4"/>
      <c r="I157" s="4"/>
      <c r="J157" s="4"/>
    </row>
    <row r="158" spans="2:10">
      <c r="B158" s="4"/>
      <c r="C158" s="4"/>
      <c r="D158" s="4"/>
      <c r="E158" s="4"/>
      <c r="F158" s="4"/>
      <c r="G158" s="4"/>
      <c r="H158" s="4"/>
      <c r="I158" s="4"/>
      <c r="J158" s="4"/>
    </row>
    <row r="159" spans="2:10">
      <c r="B159" s="4"/>
      <c r="C159" s="4"/>
      <c r="D159" s="4"/>
      <c r="E159" s="4"/>
      <c r="F159" s="4"/>
      <c r="G159" s="4"/>
      <c r="H159" s="4"/>
      <c r="I159" s="4"/>
      <c r="J159" s="4"/>
    </row>
    <row r="160" spans="2:10">
      <c r="B160" s="4"/>
      <c r="C160" s="4"/>
      <c r="D160" s="4"/>
      <c r="E160" s="4"/>
      <c r="F160" s="4"/>
      <c r="G160" s="4"/>
      <c r="H160" s="4"/>
      <c r="I160" s="4"/>
      <c r="J160" s="4"/>
    </row>
    <row r="161" spans="2:10">
      <c r="B161" s="4"/>
      <c r="C161" s="4"/>
      <c r="D161" s="4"/>
      <c r="E161" s="4"/>
      <c r="F161" s="4"/>
      <c r="G161" s="4"/>
      <c r="H161" s="4"/>
      <c r="I161" s="4"/>
      <c r="J161" s="4"/>
    </row>
    <row r="162" spans="2:10">
      <c r="B162" s="4"/>
      <c r="C162" s="4"/>
      <c r="D162" s="4"/>
      <c r="E162" s="4"/>
      <c r="F162" s="4"/>
      <c r="G162" s="4"/>
      <c r="H162" s="4"/>
      <c r="I162" s="4"/>
      <c r="J162" s="4"/>
    </row>
    <row r="163" spans="2:10">
      <c r="B163" s="4"/>
      <c r="C163" s="4"/>
      <c r="D163" s="4"/>
      <c r="E163" s="4"/>
      <c r="F163" s="4"/>
      <c r="G163" s="4"/>
      <c r="H163" s="4"/>
      <c r="I163" s="4"/>
      <c r="J163" s="4"/>
    </row>
    <row r="164" spans="2:10">
      <c r="B164" s="4"/>
      <c r="C164" s="4"/>
      <c r="D164" s="4"/>
      <c r="E164" s="4"/>
      <c r="F164" s="4"/>
      <c r="G164" s="4"/>
      <c r="H164" s="4"/>
      <c r="I164" s="4"/>
      <c r="J164" s="4"/>
    </row>
    <row r="165" spans="2:10">
      <c r="B165" s="4"/>
      <c r="C165" s="4"/>
      <c r="D165" s="4"/>
      <c r="E165" s="4"/>
      <c r="F165" s="4"/>
      <c r="G165" s="4"/>
      <c r="H165" s="4"/>
      <c r="I165" s="4"/>
      <c r="J165" s="4"/>
    </row>
    <row r="166" spans="2:10">
      <c r="B166" s="4"/>
      <c r="C166" s="4"/>
      <c r="D166" s="4"/>
      <c r="E166" s="4"/>
      <c r="F166" s="4"/>
      <c r="G166" s="4"/>
      <c r="H166" s="4"/>
      <c r="I166" s="4"/>
      <c r="J166" s="4"/>
    </row>
    <row r="167" spans="2:10">
      <c r="B167" s="4"/>
      <c r="C167" s="4"/>
      <c r="D167" s="4"/>
      <c r="E167" s="4"/>
      <c r="F167" s="4"/>
      <c r="G167" s="4"/>
      <c r="H167" s="4"/>
      <c r="I167" s="4"/>
      <c r="J167" s="4"/>
    </row>
    <row r="168" spans="2:10">
      <c r="B168" s="4"/>
      <c r="C168" s="4"/>
      <c r="D168" s="4"/>
      <c r="E168" s="4"/>
      <c r="F168" s="4"/>
      <c r="G168" s="4"/>
      <c r="H168" s="4"/>
      <c r="I168" s="4"/>
      <c r="J168" s="4"/>
    </row>
    <row r="169" spans="2:10">
      <c r="B169" s="4"/>
      <c r="C169" s="4"/>
      <c r="D169" s="4"/>
      <c r="E169" s="4"/>
      <c r="F169" s="4"/>
      <c r="G169" s="4"/>
      <c r="H169" s="4"/>
      <c r="I169" s="4"/>
      <c r="J169" s="4"/>
    </row>
    <row r="170" spans="2:10">
      <c r="B170" s="4"/>
      <c r="C170" s="4"/>
      <c r="D170" s="4"/>
      <c r="E170" s="4"/>
      <c r="F170" s="4"/>
      <c r="G170" s="4"/>
      <c r="H170" s="4"/>
      <c r="I170" s="4"/>
      <c r="J170" s="4"/>
    </row>
    <row r="171" spans="2:10">
      <c r="B171" s="4"/>
      <c r="C171" s="4"/>
      <c r="D171" s="4"/>
      <c r="E171" s="4"/>
      <c r="F171" s="4"/>
      <c r="G171" s="4"/>
      <c r="H171" s="4"/>
      <c r="I171" s="4"/>
      <c r="J171" s="4"/>
    </row>
    <row r="172" spans="2:10">
      <c r="B172" s="4"/>
      <c r="C172" s="4"/>
      <c r="D172" s="4"/>
      <c r="E172" s="4"/>
      <c r="F172" s="4"/>
      <c r="G172" s="4"/>
      <c r="H172" s="4"/>
      <c r="I172" s="4"/>
      <c r="J172" s="4"/>
    </row>
    <row r="173" spans="2:10">
      <c r="B173" s="4"/>
      <c r="C173" s="4"/>
      <c r="D173" s="4"/>
      <c r="E173" s="4"/>
      <c r="F173" s="4"/>
      <c r="G173" s="4"/>
      <c r="H173" s="4"/>
      <c r="I173" s="4"/>
      <c r="J173" s="4"/>
    </row>
    <row r="174" spans="2:10">
      <c r="B174" s="4"/>
      <c r="C174" s="4"/>
      <c r="D174" s="4"/>
      <c r="E174" s="4"/>
      <c r="F174" s="4"/>
      <c r="G174" s="4"/>
      <c r="H174" s="4"/>
      <c r="I174" s="4"/>
      <c r="J174" s="4"/>
    </row>
    <row r="175" spans="2:10">
      <c r="B175" s="4"/>
      <c r="C175" s="4"/>
      <c r="D175" s="4"/>
      <c r="E175" s="4"/>
      <c r="F175" s="4"/>
      <c r="G175" s="4"/>
      <c r="H175" s="4"/>
      <c r="I175" s="4"/>
      <c r="J175" s="4"/>
    </row>
    <row r="176" spans="2:10">
      <c r="B176" s="4"/>
      <c r="C176" s="4"/>
      <c r="D176" s="4"/>
      <c r="E176" s="4"/>
      <c r="F176" s="4"/>
      <c r="G176" s="4"/>
      <c r="H176" s="4"/>
      <c r="I176" s="4"/>
      <c r="J176" s="4"/>
    </row>
    <row r="177" spans="2:10">
      <c r="B177" s="4"/>
      <c r="C177" s="4"/>
      <c r="D177" s="4"/>
      <c r="E177" s="4"/>
      <c r="F177" s="4"/>
      <c r="G177" s="4"/>
      <c r="H177" s="4"/>
      <c r="I177" s="4"/>
      <c r="J177" s="4"/>
    </row>
    <row r="178" spans="2:10">
      <c r="B178" s="4"/>
      <c r="C178" s="4"/>
      <c r="D178" s="4"/>
      <c r="E178" s="4"/>
      <c r="F178" s="4"/>
      <c r="G178" s="4"/>
      <c r="H178" s="4"/>
      <c r="I178" s="4"/>
      <c r="J178" s="4"/>
    </row>
    <row r="179" spans="2:10">
      <c r="B179" s="4"/>
      <c r="C179" s="4"/>
      <c r="D179" s="4"/>
      <c r="E179" s="4"/>
      <c r="F179" s="4"/>
      <c r="G179" s="4"/>
      <c r="H179" s="4"/>
      <c r="I179" s="4"/>
      <c r="J179" s="4"/>
    </row>
    <row r="180" spans="2:10">
      <c r="B180" s="4"/>
      <c r="C180" s="4"/>
      <c r="D180" s="4"/>
      <c r="E180" s="4"/>
      <c r="F180" s="4"/>
      <c r="G180" s="4"/>
      <c r="H180" s="4"/>
      <c r="I180" s="4"/>
      <c r="J180" s="4"/>
    </row>
    <row r="181" spans="2:10">
      <c r="B181" s="4"/>
      <c r="C181" s="4"/>
      <c r="D181" s="4"/>
      <c r="E181" s="4"/>
      <c r="F181" s="4"/>
      <c r="G181" s="4"/>
      <c r="H181" s="4"/>
      <c r="I181" s="4"/>
      <c r="J181" s="4"/>
    </row>
    <row r="182" spans="2:10">
      <c r="B182" s="4"/>
      <c r="C182" s="4"/>
      <c r="D182" s="4"/>
      <c r="E182" s="4"/>
      <c r="F182" s="4"/>
      <c r="G182" s="4"/>
      <c r="H182" s="4"/>
      <c r="I182" s="4"/>
      <c r="J182" s="4"/>
    </row>
    <row r="183" spans="2:10">
      <c r="B183" s="4"/>
      <c r="C183" s="4"/>
      <c r="D183" s="4"/>
      <c r="E183" s="4"/>
      <c r="F183" s="4"/>
      <c r="G183" s="4"/>
      <c r="H183" s="4"/>
      <c r="I183" s="4"/>
      <c r="J183" s="4"/>
    </row>
    <row r="184" spans="2:10">
      <c r="B184" s="4"/>
      <c r="C184" s="4"/>
      <c r="D184" s="4"/>
      <c r="E184" s="4"/>
      <c r="F184" s="4"/>
      <c r="G184" s="4"/>
      <c r="H184" s="4"/>
      <c r="I184" s="4"/>
      <c r="J184" s="4"/>
    </row>
    <row r="185" spans="2:10">
      <c r="B185" s="4"/>
      <c r="C185" s="4"/>
      <c r="D185" s="4"/>
      <c r="E185" s="4"/>
      <c r="F185" s="4"/>
      <c r="G185" s="4"/>
      <c r="H185" s="4"/>
      <c r="I185" s="4"/>
      <c r="J185" s="4"/>
    </row>
    <row r="186" spans="2:10">
      <c r="B186" s="4"/>
      <c r="C186" s="4"/>
      <c r="D186" s="4"/>
      <c r="E186" s="4"/>
      <c r="F186" s="4"/>
      <c r="G186" s="4"/>
      <c r="H186" s="4"/>
      <c r="I186" s="4"/>
      <c r="J186" s="4"/>
    </row>
    <row r="187" spans="2:10">
      <c r="B187" s="4"/>
      <c r="C187" s="4"/>
      <c r="D187" s="4"/>
      <c r="E187" s="4"/>
      <c r="F187" s="4"/>
      <c r="G187" s="4"/>
      <c r="H187" s="4"/>
      <c r="I187" s="4"/>
      <c r="J187" s="4"/>
    </row>
    <row r="188" spans="2:10">
      <c r="B188" s="4"/>
      <c r="C188" s="4"/>
      <c r="D188" s="4"/>
      <c r="E188" s="4"/>
      <c r="F188" s="4"/>
      <c r="G188" s="4"/>
      <c r="H188" s="4"/>
      <c r="I188" s="4"/>
      <c r="J188" s="4"/>
    </row>
    <row r="189" spans="2:10" ht="14.25" customHeight="1">
      <c r="B189" s="4"/>
      <c r="C189" s="4"/>
      <c r="D189" s="4"/>
      <c r="E189" s="4"/>
      <c r="F189" s="4"/>
      <c r="G189" s="4"/>
      <c r="H189" s="4"/>
      <c r="I189" s="4"/>
      <c r="J189" s="4"/>
    </row>
    <row r="190" spans="2:10" ht="12.75" customHeight="1">
      <c r="B190" s="4"/>
      <c r="C190" s="4"/>
      <c r="D190" s="4"/>
      <c r="E190" s="4"/>
      <c r="F190" s="4"/>
      <c r="G190" s="4"/>
      <c r="H190" s="4"/>
      <c r="I190" s="4"/>
      <c r="J190" s="4"/>
    </row>
    <row r="191" spans="2:10" ht="12.75" customHeight="1">
      <c r="B191" s="4"/>
      <c r="C191" s="4"/>
      <c r="D191" s="4"/>
      <c r="E191" s="4"/>
      <c r="F191" s="4"/>
      <c r="G191" s="4"/>
      <c r="H191" s="4"/>
      <c r="I191" s="4"/>
      <c r="J191" s="4"/>
    </row>
    <row r="192" spans="2:10" ht="12.75" customHeight="1">
      <c r="B192" s="4"/>
      <c r="C192" s="4"/>
      <c r="D192" s="4"/>
      <c r="E192" s="4"/>
      <c r="F192" s="4"/>
      <c r="G192" s="4"/>
      <c r="H192" s="4"/>
      <c r="I192" s="4"/>
      <c r="J192" s="4"/>
    </row>
    <row r="193" spans="2:10" ht="12.75" customHeight="1">
      <c r="B193" s="4"/>
      <c r="C193" s="4"/>
      <c r="D193" s="4"/>
      <c r="E193" s="4"/>
      <c r="F193" s="4"/>
      <c r="G193" s="4"/>
      <c r="H193" s="4"/>
      <c r="I193" s="4"/>
      <c r="J193" s="4"/>
    </row>
    <row r="194" spans="2:10" ht="12.75" customHeight="1">
      <c r="B194" s="4"/>
      <c r="C194" s="4"/>
      <c r="D194" s="4"/>
      <c r="E194" s="4"/>
      <c r="F194" s="4"/>
      <c r="G194" s="4"/>
      <c r="H194" s="4"/>
      <c r="I194" s="4"/>
      <c r="J194" s="4"/>
    </row>
    <row r="195" spans="2:10" ht="12.75" customHeight="1">
      <c r="B195" s="4"/>
      <c r="C195" s="4"/>
      <c r="D195" s="4"/>
      <c r="E195" s="4"/>
      <c r="F195" s="4"/>
      <c r="G195" s="4"/>
      <c r="H195" s="4"/>
      <c r="I195" s="4"/>
      <c r="J195" s="4"/>
    </row>
    <row r="196" spans="2:10" ht="12.75" customHeight="1">
      <c r="B196" s="4"/>
      <c r="C196" s="4"/>
      <c r="D196" s="4"/>
      <c r="E196" s="4"/>
      <c r="F196" s="4"/>
      <c r="G196" s="4"/>
      <c r="H196" s="4"/>
      <c r="I196" s="4"/>
      <c r="J196" s="4"/>
    </row>
    <row r="197" spans="2:10" ht="12.75" customHeight="1">
      <c r="B197" s="4"/>
      <c r="C197" s="4"/>
      <c r="D197" s="4"/>
      <c r="E197" s="4"/>
      <c r="F197" s="4"/>
      <c r="G197" s="4"/>
      <c r="H197" s="4"/>
      <c r="I197" s="4"/>
      <c r="J197" s="4"/>
    </row>
    <row r="198" spans="2:10" ht="12.75" customHeight="1">
      <c r="B198" s="4"/>
      <c r="C198" s="4"/>
      <c r="D198" s="4"/>
      <c r="E198" s="4"/>
      <c r="F198" s="4"/>
      <c r="G198" s="4"/>
      <c r="H198" s="4"/>
      <c r="I198" s="4"/>
      <c r="J198" s="4"/>
    </row>
    <row r="199" spans="2:10" ht="12.75" customHeight="1">
      <c r="B199" s="4"/>
      <c r="C199" s="4"/>
      <c r="D199" s="4"/>
      <c r="E199" s="4"/>
      <c r="F199" s="4"/>
      <c r="G199" s="4"/>
      <c r="H199" s="4"/>
      <c r="I199" s="4"/>
      <c r="J199" s="4"/>
    </row>
    <row r="200" spans="2:10" ht="12.75" customHeight="1">
      <c r="B200" s="4"/>
      <c r="C200" s="4"/>
      <c r="D200" s="4"/>
      <c r="E200" s="4"/>
      <c r="F200" s="4"/>
      <c r="G200" s="4"/>
      <c r="H200" s="4"/>
      <c r="I200" s="4"/>
      <c r="J200" s="4"/>
    </row>
    <row r="201" spans="2:10" ht="12.75" customHeight="1">
      <c r="B201" s="4"/>
      <c r="C201" s="4"/>
      <c r="D201" s="4"/>
      <c r="E201" s="4"/>
      <c r="F201" s="4"/>
      <c r="G201" s="4"/>
      <c r="H201" s="4"/>
      <c r="I201" s="4"/>
      <c r="J201" s="4"/>
    </row>
    <row r="202" spans="2:10" ht="12.75" customHeight="1">
      <c r="B202" s="4"/>
      <c r="C202" s="4"/>
      <c r="D202" s="4"/>
      <c r="E202" s="4"/>
      <c r="F202" s="4"/>
      <c r="G202" s="4"/>
      <c r="H202" s="4"/>
      <c r="I202" s="4"/>
      <c r="J202" s="4"/>
    </row>
    <row r="203" spans="2:10" ht="12.75" customHeight="1">
      <c r="B203" s="4"/>
      <c r="C203" s="4"/>
      <c r="D203" s="4"/>
      <c r="E203" s="4"/>
      <c r="F203" s="4"/>
      <c r="G203" s="4"/>
      <c r="H203" s="4"/>
      <c r="I203" s="4"/>
      <c r="J203" s="4"/>
    </row>
    <row r="204" spans="2:10" ht="12.75" customHeight="1">
      <c r="B204" s="4"/>
      <c r="C204" s="4"/>
      <c r="D204" s="4"/>
      <c r="E204" s="4"/>
      <c r="F204" s="4"/>
      <c r="G204" s="4"/>
      <c r="H204" s="4"/>
      <c r="I204" s="4"/>
      <c r="J204" s="4"/>
    </row>
    <row r="205" spans="2:10">
      <c r="B205" s="4"/>
      <c r="C205" s="4"/>
      <c r="D205" s="4"/>
      <c r="E205" s="4"/>
      <c r="F205" s="4"/>
      <c r="G205" s="4"/>
      <c r="H205" s="4"/>
      <c r="I205" s="4"/>
      <c r="J205" s="4"/>
    </row>
    <row r="206" spans="2:10">
      <c r="B206" s="4"/>
      <c r="C206" s="4"/>
      <c r="D206" s="4"/>
      <c r="E206" s="4"/>
      <c r="F206" s="4"/>
      <c r="G206" s="4"/>
      <c r="H206" s="4"/>
      <c r="I206" s="4"/>
      <c r="J206" s="4"/>
    </row>
    <row r="207" spans="2:10">
      <c r="B207" s="4"/>
      <c r="C207" s="4"/>
      <c r="D207" s="4"/>
      <c r="E207" s="4"/>
      <c r="F207" s="4"/>
      <c r="G207" s="4"/>
      <c r="H207" s="4"/>
      <c r="I207" s="4"/>
      <c r="J207" s="4"/>
    </row>
    <row r="208" spans="2:10">
      <c r="B208" s="4"/>
      <c r="C208" s="4"/>
      <c r="D208" s="4"/>
      <c r="E208" s="4"/>
      <c r="F208" s="4"/>
      <c r="G208" s="4"/>
      <c r="H208" s="4"/>
      <c r="I208" s="4"/>
      <c r="J208" s="4"/>
    </row>
    <row r="209" spans="2:10">
      <c r="B209" s="4"/>
      <c r="C209" s="4"/>
      <c r="D209" s="4"/>
      <c r="E209" s="4"/>
      <c r="F209" s="4"/>
      <c r="G209" s="4"/>
      <c r="H209" s="4"/>
      <c r="I209" s="4"/>
      <c r="J209" s="4"/>
    </row>
    <row r="210" spans="2:10">
      <c r="B210" s="4"/>
      <c r="C210" s="4"/>
      <c r="D210" s="4"/>
      <c r="E210" s="4"/>
      <c r="F210" s="4"/>
      <c r="G210" s="4"/>
      <c r="H210" s="4"/>
      <c r="I210" s="4"/>
      <c r="J210" s="4"/>
    </row>
    <row r="211" spans="2:10">
      <c r="B211" s="4"/>
      <c r="C211" s="4"/>
      <c r="D211" s="4"/>
      <c r="E211" s="4"/>
      <c r="F211" s="4"/>
      <c r="G211" s="4"/>
      <c r="H211" s="4"/>
      <c r="I211" s="4"/>
      <c r="J211" s="4"/>
    </row>
    <row r="212" spans="2:10">
      <c r="B212" s="4"/>
      <c r="C212" s="4"/>
      <c r="D212" s="4"/>
      <c r="E212" s="4"/>
      <c r="F212" s="4"/>
      <c r="G212" s="4"/>
      <c r="H212" s="4"/>
      <c r="I212" s="4"/>
      <c r="J212" s="4"/>
    </row>
    <row r="213" spans="2:10">
      <c r="B213" s="4"/>
      <c r="C213" s="4"/>
      <c r="D213" s="4"/>
      <c r="E213" s="4"/>
      <c r="F213" s="4"/>
      <c r="G213" s="4"/>
      <c r="H213" s="4"/>
      <c r="I213" s="4"/>
      <c r="J213" s="4"/>
    </row>
    <row r="214" spans="2:10">
      <c r="B214" s="4"/>
      <c r="C214" s="4"/>
      <c r="D214" s="4"/>
      <c r="E214" s="4"/>
      <c r="F214" s="4"/>
      <c r="G214" s="4"/>
      <c r="H214" s="4"/>
      <c r="I214" s="4"/>
      <c r="J214" s="4"/>
    </row>
    <row r="215" spans="2:10">
      <c r="B215" s="4"/>
      <c r="C215" s="4"/>
      <c r="D215" s="4"/>
      <c r="E215" s="4"/>
      <c r="F215" s="4"/>
      <c r="G215" s="4"/>
      <c r="H215" s="4"/>
      <c r="I215" s="4"/>
      <c r="J215" s="4"/>
    </row>
    <row r="216" spans="2:10">
      <c r="B216" s="4"/>
      <c r="C216" s="4"/>
      <c r="D216" s="4"/>
      <c r="E216" s="4"/>
      <c r="F216" s="4"/>
      <c r="G216" s="4"/>
      <c r="H216" s="4"/>
      <c r="I216" s="4"/>
      <c r="J216" s="4"/>
    </row>
    <row r="217" spans="2:10">
      <c r="B217" s="4"/>
      <c r="C217" s="4"/>
      <c r="D217" s="4"/>
      <c r="E217" s="4"/>
      <c r="F217" s="4"/>
      <c r="G217" s="4"/>
      <c r="H217" s="4"/>
      <c r="I217" s="4"/>
      <c r="J217" s="4"/>
    </row>
    <row r="218" spans="2:10">
      <c r="B218" s="4"/>
      <c r="C218" s="4"/>
      <c r="D218" s="4"/>
      <c r="E218" s="4"/>
      <c r="F218" s="4"/>
      <c r="G218" s="4"/>
      <c r="H218" s="4"/>
      <c r="I218" s="4"/>
      <c r="J218" s="4"/>
    </row>
    <row r="219" spans="2:10">
      <c r="B219" s="4"/>
      <c r="C219" s="4"/>
      <c r="D219" s="4"/>
      <c r="E219" s="4"/>
      <c r="F219" s="4"/>
      <c r="G219" s="4"/>
      <c r="H219" s="4"/>
      <c r="I219" s="4"/>
      <c r="J219" s="4"/>
    </row>
    <row r="220" spans="2:10">
      <c r="B220" s="4"/>
      <c r="C220" s="4"/>
      <c r="D220" s="4"/>
      <c r="E220" s="4"/>
      <c r="F220" s="4"/>
      <c r="G220" s="4"/>
      <c r="H220" s="4"/>
      <c r="I220" s="4"/>
      <c r="J220" s="4"/>
    </row>
    <row r="221" spans="2:10">
      <c r="B221" s="4"/>
      <c r="C221" s="4"/>
      <c r="D221" s="4"/>
      <c r="E221" s="4"/>
      <c r="F221" s="4"/>
      <c r="G221" s="4"/>
      <c r="H221" s="4"/>
      <c r="I221" s="4"/>
      <c r="J221" s="4"/>
    </row>
    <row r="222" spans="2:10">
      <c r="B222" s="4"/>
      <c r="C222" s="4"/>
      <c r="D222" s="4"/>
      <c r="E222" s="4"/>
      <c r="F222" s="4"/>
      <c r="G222" s="4"/>
      <c r="H222" s="4"/>
      <c r="I222" s="4"/>
      <c r="J222" s="4"/>
    </row>
  </sheetData>
  <mergeCells count="7">
    <mergeCell ref="A3:I3"/>
    <mergeCell ref="A4:I4"/>
    <mergeCell ref="A5:I5"/>
    <mergeCell ref="E10:E11"/>
    <mergeCell ref="A6:I6"/>
    <mergeCell ref="G10:G11"/>
    <mergeCell ref="I10:I11"/>
  </mergeCells>
  <phoneticPr fontId="0" type="noConversion"/>
  <pageMargins left="0.26" right="1.28" top="1" bottom="1" header="0.75" footer="0.5"/>
  <pageSetup scale="55" orientation="portrait" r:id="rId1"/>
  <headerFooter alignWithMargins="0">
    <oddHeader>&amp;R&amp;"Arial,Bold"Formula Rate
 &amp;A
Page &amp;P of &amp;N</oddHeader>
  </headerFooter>
  <rowBreaks count="1" manualBreakCount="1">
    <brk id="61"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S197"/>
  <sheetViews>
    <sheetView view="pageBreakPreview" zoomScale="60" zoomScaleNormal="50" workbookViewId="0">
      <selection activeCell="I69" sqref="I69"/>
    </sheetView>
  </sheetViews>
  <sheetFormatPr defaultRowHeight="12.75"/>
  <cols>
    <col min="1" max="1" width="6.85546875" style="1017" customWidth="1"/>
    <col min="2" max="2" width="57.7109375" style="1016" bestFit="1" customWidth="1"/>
    <col min="3" max="4" width="14.85546875" style="1016" customWidth="1"/>
    <col min="5" max="6" width="14.28515625" style="1016" customWidth="1"/>
    <col min="7" max="7" width="15.28515625" style="1016" bestFit="1" customWidth="1"/>
    <col min="8" max="8" width="9.140625" style="1016"/>
    <col min="9" max="9" width="13.140625" style="1016" bestFit="1" customWidth="1"/>
    <col min="10" max="10" width="15" style="1016" bestFit="1" customWidth="1"/>
    <col min="11" max="11" width="13.5703125" style="1016" bestFit="1" customWidth="1"/>
    <col min="12" max="12" width="9.140625" style="1016"/>
    <col min="13" max="13" width="13.140625" style="1016" bestFit="1" customWidth="1"/>
    <col min="14" max="14" width="15" style="1016" bestFit="1" customWidth="1"/>
    <col min="15" max="15" width="13.5703125" style="1016" bestFit="1" customWidth="1"/>
    <col min="16" max="16" width="9.140625" style="1016"/>
    <col min="17" max="17" width="13.140625" style="1016" bestFit="1" customWidth="1"/>
    <col min="18" max="18" width="15" style="1016" bestFit="1" customWidth="1"/>
    <col min="19" max="19" width="13.5703125" style="1016" bestFit="1" customWidth="1"/>
    <col min="20" max="16384" width="9.140625" style="1016"/>
  </cols>
  <sheetData>
    <row r="1" spans="1:19">
      <c r="A1" s="1043"/>
      <c r="B1" s="1066" t="str">
        <f>TCOS!F9</f>
        <v>AEP Appalachian Transmission Company</v>
      </c>
      <c r="C1" s="1027"/>
      <c r="D1" s="1027"/>
      <c r="E1" s="1027"/>
      <c r="F1" s="1027"/>
      <c r="G1" s="1024"/>
      <c r="H1" s="1024"/>
      <c r="I1" s="1024"/>
      <c r="J1" s="1024"/>
      <c r="K1" s="1024"/>
      <c r="L1" s="1024"/>
      <c r="M1" s="1027"/>
      <c r="N1" s="1027"/>
      <c r="O1" s="1027"/>
      <c r="P1" s="1027"/>
      <c r="Q1" s="1027"/>
      <c r="R1" s="1027"/>
      <c r="S1" s="1024"/>
    </row>
    <row r="2" spans="1:19">
      <c r="A2" s="1043"/>
      <c r="B2" s="1026" t="s">
        <v>641</v>
      </c>
      <c r="C2" s="1027"/>
      <c r="D2" s="1027"/>
      <c r="E2" s="1027"/>
      <c r="F2" s="1027"/>
      <c r="G2" s="1024"/>
      <c r="H2" s="1024"/>
      <c r="I2" s="1024"/>
      <c r="J2" s="1024"/>
      <c r="K2" s="1024"/>
      <c r="L2" s="1024"/>
      <c r="M2" s="1027"/>
      <c r="N2" s="1027"/>
      <c r="O2" s="1027"/>
      <c r="P2" s="1027"/>
      <c r="Q2" s="1027"/>
      <c r="R2" s="1027"/>
      <c r="S2" s="1024"/>
    </row>
    <row r="3" spans="1:19">
      <c r="A3" s="1043"/>
      <c r="B3" s="1059" t="str">
        <f>"PERIOD ENDED DECEMBER 31, "&amp;TCOS!L4</f>
        <v>PERIOD ENDED DECEMBER 31, 2025</v>
      </c>
      <c r="C3" s="1027"/>
      <c r="D3" s="1027"/>
      <c r="E3" s="1027"/>
      <c r="F3" s="1027"/>
      <c r="G3" s="1027"/>
      <c r="H3" s="1027"/>
      <c r="I3" s="1027"/>
      <c r="J3" s="1027"/>
      <c r="K3" s="1027"/>
      <c r="L3" s="1027"/>
      <c r="M3" s="1027"/>
      <c r="N3" s="1027"/>
      <c r="O3" s="1027"/>
      <c r="P3" s="1027"/>
      <c r="Q3" s="1027"/>
      <c r="R3" s="1027"/>
      <c r="S3" s="1027"/>
    </row>
    <row r="4" spans="1:19">
      <c r="A4" s="1043"/>
      <c r="B4" s="1027"/>
      <c r="C4" s="1027"/>
      <c r="D4" s="1027"/>
      <c r="E4" s="1027"/>
      <c r="F4" s="1027"/>
      <c r="G4" s="1025" t="s">
        <v>642</v>
      </c>
      <c r="H4" s="1025"/>
      <c r="I4" s="1025"/>
      <c r="J4" s="1025"/>
      <c r="K4" s="1025"/>
      <c r="L4" s="1025"/>
      <c r="M4" s="1027"/>
      <c r="N4" s="1027"/>
      <c r="O4" s="1027"/>
      <c r="P4" s="1027"/>
      <c r="Q4" s="1027"/>
      <c r="R4" s="1027"/>
      <c r="S4" s="1027"/>
    </row>
    <row r="5" spans="1:19">
      <c r="A5" s="1043"/>
      <c r="B5" s="1028"/>
      <c r="C5" s="1027"/>
      <c r="D5" s="1027"/>
      <c r="E5" s="1027"/>
      <c r="F5" s="1027"/>
      <c r="G5" s="1027"/>
      <c r="H5" s="1027"/>
      <c r="I5" s="1027"/>
      <c r="J5" s="1027"/>
      <c r="K5" s="1027"/>
      <c r="L5" s="1027"/>
      <c r="M5" s="1027"/>
      <c r="N5" s="1027"/>
      <c r="O5" s="1027"/>
      <c r="P5" s="1027"/>
      <c r="Q5" s="1027"/>
      <c r="R5" s="1027"/>
      <c r="S5" s="1027"/>
    </row>
    <row r="6" spans="1:19">
      <c r="A6" s="1043"/>
      <c r="B6" s="1027"/>
      <c r="C6" s="1027"/>
      <c r="D6" s="1027"/>
      <c r="E6" s="1027"/>
      <c r="F6" s="1027"/>
      <c r="G6" s="1027"/>
      <c r="H6" s="1027"/>
      <c r="I6" s="1027"/>
      <c r="J6" s="1027"/>
      <c r="K6" s="1027"/>
      <c r="L6" s="1027"/>
      <c r="M6" s="1027"/>
      <c r="N6" s="1027"/>
      <c r="O6" s="1027"/>
      <c r="P6" s="1027"/>
      <c r="Q6" s="1027"/>
      <c r="R6" s="1027"/>
      <c r="S6" s="1027"/>
    </row>
    <row r="7" spans="1:19">
      <c r="A7" s="1043"/>
      <c r="B7" s="1027"/>
      <c r="C7" s="1027"/>
      <c r="D7" s="1027"/>
      <c r="E7" s="1027"/>
      <c r="F7" s="1027"/>
      <c r="G7" s="1027"/>
      <c r="H7" s="1027"/>
      <c r="I7" s="1027"/>
      <c r="J7" s="1027"/>
      <c r="K7" s="1027"/>
      <c r="L7" s="1027"/>
      <c r="M7" s="1027"/>
      <c r="N7" s="1027"/>
      <c r="O7" s="1027"/>
      <c r="P7" s="1027"/>
      <c r="Q7" s="1027"/>
      <c r="R7" s="1027"/>
      <c r="S7" s="1027"/>
    </row>
    <row r="8" spans="1:19">
      <c r="A8" s="1043"/>
      <c r="B8" s="1029" t="s">
        <v>643</v>
      </c>
      <c r="C8" s="1029" t="s">
        <v>644</v>
      </c>
      <c r="D8" s="1029" t="s">
        <v>645</v>
      </c>
      <c r="E8" s="1029" t="s">
        <v>646</v>
      </c>
      <c r="F8" s="1029" t="s">
        <v>647</v>
      </c>
      <c r="G8" s="1029" t="s">
        <v>648</v>
      </c>
      <c r="H8" s="1029"/>
      <c r="I8" s="1029" t="s">
        <v>649</v>
      </c>
      <c r="J8" s="1029" t="s">
        <v>650</v>
      </c>
      <c r="K8" s="1029" t="s">
        <v>651</v>
      </c>
      <c r="L8" s="1029"/>
      <c r="M8" s="1029" t="s">
        <v>652</v>
      </c>
      <c r="N8" s="1029" t="s">
        <v>653</v>
      </c>
      <c r="O8" s="1029" t="s">
        <v>654</v>
      </c>
      <c r="P8" s="1027"/>
      <c r="Q8" s="1029" t="s">
        <v>655</v>
      </c>
      <c r="R8" s="1029" t="s">
        <v>656</v>
      </c>
      <c r="S8" s="1029" t="s">
        <v>657</v>
      </c>
    </row>
    <row r="9" spans="1:19">
      <c r="A9" s="1043"/>
      <c r="B9" s="1027"/>
      <c r="C9" s="1027"/>
      <c r="D9" s="1027"/>
      <c r="E9" s="1027"/>
      <c r="F9" s="1027"/>
      <c r="G9" s="1027"/>
      <c r="H9" s="1027"/>
      <c r="I9" s="1027"/>
      <c r="J9" s="1027"/>
      <c r="K9" s="1027"/>
      <c r="L9" s="1027"/>
      <c r="M9" s="1027"/>
      <c r="N9" s="1027"/>
      <c r="O9" s="1027"/>
      <c r="P9" s="1027"/>
      <c r="Q9" s="1027"/>
      <c r="R9" s="1027"/>
      <c r="S9" s="1027"/>
    </row>
    <row r="10" spans="1:19">
      <c r="A10" s="1043"/>
      <c r="B10" s="1027"/>
      <c r="C10" s="1030" t="s">
        <v>658</v>
      </c>
      <c r="D10" s="1030"/>
      <c r="E10" s="1031" t="s">
        <v>659</v>
      </c>
      <c r="F10" s="1030"/>
      <c r="G10" s="1018" t="s">
        <v>660</v>
      </c>
      <c r="H10" s="1018"/>
      <c r="I10" s="1032" t="s">
        <v>661</v>
      </c>
      <c r="J10" s="1030"/>
      <c r="K10" s="1030"/>
      <c r="L10" s="1018"/>
      <c r="M10" s="1032" t="str">
        <f>"FUNCTIONALIZATION 12/31/"&amp;TCOS!L4-1</f>
        <v>FUNCTIONALIZATION 12/31/2024</v>
      </c>
      <c r="N10" s="1030"/>
      <c r="O10" s="1030"/>
      <c r="P10" s="1027"/>
      <c r="Q10" s="1032" t="str">
        <f>"FUNCTIONALIZATION 12/31/"&amp;TCOS!L4</f>
        <v>FUNCTIONALIZATION 12/31/2025</v>
      </c>
      <c r="R10" s="1030"/>
      <c r="S10" s="1030"/>
    </row>
    <row r="11" spans="1:19">
      <c r="A11" s="1043"/>
      <c r="B11" s="1027"/>
      <c r="C11" s="1033"/>
      <c r="D11" s="1033"/>
      <c r="E11" s="1027"/>
      <c r="F11" s="1027"/>
      <c r="G11" s="1018" t="s">
        <v>662</v>
      </c>
      <c r="H11" s="1018"/>
      <c r="I11" s="1033"/>
      <c r="J11" s="1033"/>
      <c r="K11" s="1033"/>
      <c r="L11" s="1018"/>
      <c r="M11" s="1033"/>
      <c r="N11" s="1033"/>
      <c r="O11" s="1033"/>
      <c r="P11" s="1027"/>
      <c r="Q11" s="1033"/>
      <c r="R11" s="1033"/>
      <c r="S11" s="1033"/>
    </row>
    <row r="12" spans="1:19" s="1061" customFormat="1">
      <c r="A12" s="1062"/>
      <c r="B12" s="1060"/>
      <c r="C12" s="1063" t="s">
        <v>663</v>
      </c>
      <c r="D12" s="1063" t="s">
        <v>663</v>
      </c>
      <c r="E12" s="1063" t="s">
        <v>663</v>
      </c>
      <c r="F12" s="1063" t="s">
        <v>663</v>
      </c>
      <c r="G12" s="1063" t="s">
        <v>664</v>
      </c>
      <c r="H12" s="1063"/>
      <c r="I12" s="1060"/>
      <c r="J12" s="1060"/>
      <c r="K12" s="1060"/>
      <c r="L12" s="1063"/>
      <c r="M12" s="1060"/>
      <c r="N12" s="1060"/>
      <c r="O12" s="1060"/>
      <c r="P12" s="1060"/>
      <c r="Q12" s="1060"/>
      <c r="R12" s="1060"/>
      <c r="S12" s="1060"/>
    </row>
    <row r="13" spans="1:19" s="1061" customFormat="1">
      <c r="A13" s="1062"/>
      <c r="B13" s="1064" t="s">
        <v>665</v>
      </c>
      <c r="C13" s="1064" t="str">
        <f>"OF 12-31-"&amp;TCOS!L4-1</f>
        <v>OF 12-31-2024</v>
      </c>
      <c r="D13" s="1064" t="str">
        <f>"OF 12-31-"&amp;TCOS!L4</f>
        <v>OF 12-31-2025</v>
      </c>
      <c r="E13" s="1064" t="str">
        <f>"OF 12-31-"&amp;TCOS!L4-1</f>
        <v>OF 12-31-2024</v>
      </c>
      <c r="F13" s="1064" t="str">
        <f>"OF 12-31-"&amp;TCOS!L4</f>
        <v>OF 12-31-2025</v>
      </c>
      <c r="G13" s="1064" t="s">
        <v>666</v>
      </c>
      <c r="H13" s="1064"/>
      <c r="I13" s="1064" t="s">
        <v>667</v>
      </c>
      <c r="J13" s="1064" t="s">
        <v>668</v>
      </c>
      <c r="K13" s="1064" t="s">
        <v>669</v>
      </c>
      <c r="L13" s="1064"/>
      <c r="M13" s="1064" t="s">
        <v>667</v>
      </c>
      <c r="N13" s="1064" t="s">
        <v>668</v>
      </c>
      <c r="O13" s="1064" t="s">
        <v>669</v>
      </c>
      <c r="P13" s="1060"/>
      <c r="Q13" s="1064" t="s">
        <v>667</v>
      </c>
      <c r="R13" s="1064" t="s">
        <v>668</v>
      </c>
      <c r="S13" s="1064" t="s">
        <v>669</v>
      </c>
    </row>
    <row r="14" spans="1:19">
      <c r="A14" s="1043"/>
      <c r="B14" s="1027"/>
      <c r="C14" s="1027"/>
      <c r="D14" s="1027"/>
      <c r="E14" s="1027"/>
      <c r="F14" s="1027"/>
      <c r="G14" s="1027"/>
      <c r="H14" s="1027"/>
      <c r="I14" s="1027"/>
      <c r="J14" s="1027"/>
      <c r="K14" s="1027"/>
      <c r="L14" s="1027"/>
      <c r="M14" s="1027"/>
      <c r="N14" s="1027"/>
      <c r="O14" s="1027"/>
      <c r="P14" s="1027"/>
      <c r="Q14" s="1027"/>
      <c r="R14" s="1027"/>
      <c r="S14" s="1027"/>
    </row>
    <row r="15" spans="1:19">
      <c r="A15" s="1058">
        <v>1</v>
      </c>
      <c r="B15" s="1023" t="s">
        <v>670</v>
      </c>
      <c r="C15" s="1035"/>
      <c r="D15" s="1035"/>
      <c r="E15" s="1035"/>
      <c r="F15" s="1036"/>
      <c r="G15" s="1035"/>
      <c r="H15" s="1035"/>
      <c r="I15" s="1035"/>
      <c r="J15" s="1035"/>
      <c r="K15" s="1035"/>
      <c r="L15" s="1035"/>
      <c r="M15" s="1035"/>
      <c r="N15" s="1035"/>
      <c r="O15" s="1035"/>
      <c r="P15" s="1035"/>
      <c r="Q15" s="1035"/>
      <c r="R15" s="1035"/>
      <c r="S15" s="1035"/>
    </row>
    <row r="16" spans="1:19">
      <c r="A16" s="1058">
        <v>2.0099999999999998</v>
      </c>
      <c r="B16" s="1023"/>
      <c r="C16" s="1035"/>
      <c r="D16" s="1035"/>
      <c r="E16" s="1035"/>
      <c r="F16" s="1035"/>
      <c r="G16" s="1035"/>
      <c r="H16" s="1035"/>
      <c r="I16" s="1035"/>
      <c r="J16" s="1035"/>
      <c r="K16" s="1035"/>
      <c r="L16" s="1035"/>
      <c r="M16" s="1035"/>
      <c r="N16" s="1035"/>
      <c r="O16" s="1035"/>
      <c r="P16" s="1035"/>
      <c r="Q16" s="1035"/>
      <c r="R16" s="1035"/>
      <c r="S16" s="1035"/>
    </row>
    <row r="17" spans="1:19">
      <c r="A17" s="1058">
        <v>2.02</v>
      </c>
      <c r="B17" s="1023"/>
      <c r="C17" s="1035">
        <f>SUM(M17:O17)</f>
        <v>0</v>
      </c>
      <c r="D17" s="1035">
        <f>SUM(Q17:S17)</f>
        <v>0</v>
      </c>
      <c r="E17" s="1035"/>
      <c r="F17" s="1035"/>
      <c r="G17" s="1035">
        <f>ROUND(SUM(C17:F17)/2,0)</f>
        <v>0</v>
      </c>
      <c r="H17" s="1035"/>
      <c r="I17" s="1035">
        <f>(M17+Q17)/2</f>
        <v>0</v>
      </c>
      <c r="J17" s="1035">
        <f>(N17+R17)/2</f>
        <v>0</v>
      </c>
      <c r="K17" s="1035">
        <f>(O17+S17)/2</f>
        <v>0</v>
      </c>
      <c r="L17" s="1035"/>
      <c r="M17" s="1023"/>
      <c r="N17" s="1023"/>
      <c r="O17" s="1023"/>
      <c r="P17" s="1035"/>
      <c r="Q17" s="1023"/>
      <c r="R17" s="1023"/>
      <c r="S17" s="1023"/>
    </row>
    <row r="18" spans="1:19">
      <c r="A18" s="1058">
        <v>2.0299999999999998</v>
      </c>
      <c r="B18" s="1023"/>
      <c r="C18" s="1035"/>
      <c r="D18" s="1035"/>
      <c r="E18" s="1035"/>
      <c r="F18" s="1035"/>
      <c r="G18" s="1035"/>
      <c r="H18" s="1035"/>
      <c r="I18" s="1035"/>
      <c r="J18" s="1035"/>
      <c r="K18" s="1035"/>
      <c r="L18" s="1035"/>
      <c r="M18" s="1035"/>
      <c r="N18" s="1035"/>
      <c r="O18" s="1035"/>
      <c r="P18" s="1035"/>
      <c r="Q18" s="1035"/>
      <c r="R18" s="1035"/>
      <c r="S18" s="1035"/>
    </row>
    <row r="19" spans="1:19">
      <c r="A19" s="1058">
        <v>2.04</v>
      </c>
      <c r="B19" s="1023"/>
      <c r="C19" s="1035">
        <v>0</v>
      </c>
      <c r="D19" s="1035">
        <v>0</v>
      </c>
      <c r="E19" s="1035">
        <f t="shared" ref="E19:F21" si="0">-C19</f>
        <v>0</v>
      </c>
      <c r="F19" s="1035">
        <f t="shared" si="0"/>
        <v>0</v>
      </c>
      <c r="G19" s="1035">
        <f>ROUND(SUM(C19:F19)/2,0)</f>
        <v>0</v>
      </c>
      <c r="H19" s="1035"/>
      <c r="I19" s="1035"/>
      <c r="J19" s="1035"/>
      <c r="K19" s="1035"/>
      <c r="L19" s="1035"/>
      <c r="M19" s="1035"/>
      <c r="N19" s="1035"/>
      <c r="O19" s="1035"/>
      <c r="P19" s="1035"/>
      <c r="Q19" s="1035"/>
      <c r="R19" s="1035"/>
      <c r="S19" s="1035"/>
    </row>
    <row r="20" spans="1:19">
      <c r="A20" s="1058">
        <v>2.0499999999999998</v>
      </c>
      <c r="B20" s="1023"/>
      <c r="C20" s="1035">
        <v>0</v>
      </c>
      <c r="D20" s="1035">
        <v>0</v>
      </c>
      <c r="E20" s="1035">
        <f t="shared" si="0"/>
        <v>0</v>
      </c>
      <c r="F20" s="1035">
        <f t="shared" si="0"/>
        <v>0</v>
      </c>
      <c r="G20" s="1035">
        <f>ROUND(SUM(C20:F20)/2,0)</f>
        <v>0</v>
      </c>
      <c r="H20" s="1035"/>
      <c r="I20" s="1035"/>
      <c r="J20" s="1035"/>
      <c r="K20" s="1035"/>
      <c r="L20" s="1035"/>
      <c r="M20" s="1035"/>
      <c r="N20" s="1035"/>
      <c r="O20" s="1035"/>
      <c r="P20" s="1035"/>
      <c r="Q20" s="1035"/>
      <c r="R20" s="1035"/>
      <c r="S20" s="1035"/>
    </row>
    <row r="21" spans="1:19">
      <c r="A21" s="1058">
        <v>2.06</v>
      </c>
      <c r="B21" s="1023"/>
      <c r="C21" s="1035">
        <v>0</v>
      </c>
      <c r="D21" s="1035">
        <v>0</v>
      </c>
      <c r="E21" s="1035">
        <f t="shared" si="0"/>
        <v>0</v>
      </c>
      <c r="F21" s="1035">
        <f t="shared" si="0"/>
        <v>0</v>
      </c>
      <c r="G21" s="1035">
        <f>ROUND(SUM(C21:F21)/2,0)</f>
        <v>0</v>
      </c>
      <c r="H21" s="1035"/>
      <c r="I21" s="1035"/>
      <c r="J21" s="1035"/>
      <c r="K21" s="1035"/>
      <c r="L21" s="1035"/>
      <c r="M21" s="1035"/>
      <c r="N21" s="1035"/>
      <c r="O21" s="1035"/>
      <c r="P21" s="1035"/>
      <c r="Q21" s="1035"/>
      <c r="R21" s="1035"/>
      <c r="S21" s="1035"/>
    </row>
    <row r="22" spans="1:19">
      <c r="A22" s="1044"/>
      <c r="B22" s="1027"/>
      <c r="C22" s="1035"/>
      <c r="D22" s="1035"/>
      <c r="E22" s="1035"/>
      <c r="F22" s="1035"/>
      <c r="G22" s="1035"/>
      <c r="H22" s="1035"/>
      <c r="I22" s="1035"/>
      <c r="J22" s="1035"/>
      <c r="K22" s="1035"/>
      <c r="L22" s="1035"/>
      <c r="M22" s="1035"/>
      <c r="N22" s="1035"/>
      <c r="O22" s="1035"/>
      <c r="P22" s="1035"/>
      <c r="Q22" s="1035"/>
      <c r="R22" s="1035"/>
      <c r="S22" s="1035"/>
    </row>
    <row r="23" spans="1:19" ht="13.5" thickBot="1">
      <c r="A23" s="1044">
        <v>3</v>
      </c>
      <c r="B23" s="1024" t="s">
        <v>671</v>
      </c>
      <c r="C23" s="1037">
        <f>SUM(C17:C22)</f>
        <v>0</v>
      </c>
      <c r="D23" s="1037">
        <f>SUM(D17:D22)</f>
        <v>0</v>
      </c>
      <c r="E23" s="1037">
        <f>SUM(E17:E22)</f>
        <v>0</v>
      </c>
      <c r="F23" s="1037">
        <f>SUM(F17:F22)</f>
        <v>0</v>
      </c>
      <c r="G23" s="1037">
        <f>SUM(G17:G22)</f>
        <v>0</v>
      </c>
      <c r="H23" s="1035"/>
      <c r="I23" s="1037">
        <f>SUM(I17:I22)</f>
        <v>0</v>
      </c>
      <c r="J23" s="1037">
        <f>SUM(J17:J22)</f>
        <v>0</v>
      </c>
      <c r="K23" s="1037">
        <f>SUM(K17:K22)</f>
        <v>0</v>
      </c>
      <c r="L23" s="1035"/>
      <c r="M23" s="1037">
        <f>SUM(M17:M22)</f>
        <v>0</v>
      </c>
      <c r="N23" s="1037">
        <f>SUM(N17:N22)</f>
        <v>0</v>
      </c>
      <c r="O23" s="1037">
        <f>SUM(O17:O22)</f>
        <v>0</v>
      </c>
      <c r="P23" s="1035"/>
      <c r="Q23" s="1037">
        <f>SUM(Q17:Q22)</f>
        <v>0</v>
      </c>
      <c r="R23" s="1037">
        <f>SUM(R17:R22)</f>
        <v>0</v>
      </c>
      <c r="S23" s="1037">
        <f>SUM(S17:S22)</f>
        <v>0</v>
      </c>
    </row>
    <row r="24" spans="1:19" ht="13.5" thickTop="1">
      <c r="A24" s="1044">
        <f>A23+1</f>
        <v>4</v>
      </c>
      <c r="B24" s="1027" t="s">
        <v>672</v>
      </c>
      <c r="C24" s="1055">
        <v>0</v>
      </c>
      <c r="D24" s="1055">
        <v>0</v>
      </c>
      <c r="E24" s="1055">
        <v>0</v>
      </c>
      <c r="F24" s="1055">
        <v>0</v>
      </c>
      <c r="G24" s="1055">
        <v>0</v>
      </c>
      <c r="H24" s="1056"/>
      <c r="I24" s="1055">
        <v>0</v>
      </c>
      <c r="J24" s="1055">
        <v>0</v>
      </c>
      <c r="K24" s="1055">
        <v>0</v>
      </c>
      <c r="L24" s="1056"/>
      <c r="M24" s="1055">
        <v>0</v>
      </c>
      <c r="N24" s="1055">
        <v>0</v>
      </c>
      <c r="O24" s="1055">
        <v>0</v>
      </c>
      <c r="P24" s="1056"/>
      <c r="Q24" s="1055">
        <v>0</v>
      </c>
      <c r="R24" s="1055">
        <v>0</v>
      </c>
      <c r="S24" s="1055">
        <v>0</v>
      </c>
    </row>
    <row r="25" spans="1:19">
      <c r="A25" s="1044"/>
      <c r="B25" s="1027"/>
      <c r="C25" s="1035"/>
      <c r="D25" s="1035"/>
      <c r="E25" s="1035"/>
      <c r="F25" s="1035"/>
      <c r="G25" s="1035"/>
      <c r="H25" s="1035"/>
      <c r="I25" s="1035"/>
      <c r="J25" s="1035"/>
      <c r="K25" s="1035"/>
      <c r="L25" s="1035"/>
      <c r="M25" s="1035"/>
      <c r="N25" s="1035"/>
      <c r="O25" s="1035"/>
      <c r="P25" s="1035"/>
      <c r="Q25" s="1035"/>
      <c r="R25" s="1035"/>
      <c r="S25" s="1035"/>
    </row>
    <row r="26" spans="1:19">
      <c r="A26" s="1044">
        <v>5</v>
      </c>
      <c r="B26" s="1024" t="s">
        <v>673</v>
      </c>
      <c r="C26" s="1035"/>
      <c r="D26" s="1035"/>
      <c r="E26" s="1035"/>
      <c r="F26" s="1035"/>
      <c r="G26" s="1035"/>
      <c r="H26" s="1035"/>
      <c r="I26" s="1035"/>
      <c r="J26" s="1035"/>
      <c r="K26" s="1035"/>
      <c r="L26" s="1035"/>
      <c r="M26" s="1035"/>
      <c r="N26" s="1035"/>
      <c r="O26" s="1035"/>
      <c r="P26" s="1035"/>
      <c r="Q26" s="1035"/>
      <c r="R26" s="1035"/>
      <c r="S26" s="1035"/>
    </row>
    <row r="27" spans="1:19">
      <c r="A27" s="1057"/>
      <c r="B27" s="1027"/>
      <c r="C27" s="1035"/>
      <c r="D27" s="1035"/>
      <c r="E27" s="1035"/>
      <c r="F27" s="1035"/>
      <c r="G27" s="1035"/>
      <c r="H27" s="1035"/>
      <c r="I27" s="1035"/>
      <c r="J27" s="1035"/>
      <c r="K27" s="1035"/>
      <c r="L27" s="1035"/>
      <c r="M27" s="1035"/>
      <c r="N27" s="1035"/>
      <c r="O27" s="1035"/>
      <c r="P27" s="1035"/>
      <c r="Q27" s="1035"/>
      <c r="R27" s="1035"/>
      <c r="S27" s="1035"/>
    </row>
    <row r="28" spans="1:19">
      <c r="A28" s="1058">
        <v>5.01</v>
      </c>
      <c r="B28" s="1023"/>
      <c r="C28" s="1035">
        <f t="shared" ref="C28:C64" si="1">SUM(M28:O28)</f>
        <v>0</v>
      </c>
      <c r="D28" s="1035">
        <f t="shared" ref="D28:D64" si="2">SUM(Q28:S28)</f>
        <v>0</v>
      </c>
      <c r="E28" s="1035"/>
      <c r="F28" s="1035"/>
      <c r="G28" s="1035">
        <f t="shared" ref="G28:G50" si="3">ROUND(SUM(C28:F28)/2,0)</f>
        <v>0</v>
      </c>
      <c r="H28" s="1035"/>
      <c r="I28" s="1035">
        <f t="shared" ref="I28:K65" si="4">(M28+Q28)/2</f>
        <v>0</v>
      </c>
      <c r="J28" s="1035">
        <f t="shared" si="4"/>
        <v>0</v>
      </c>
      <c r="K28" s="1035">
        <f t="shared" si="4"/>
        <v>0</v>
      </c>
      <c r="L28" s="1035"/>
      <c r="M28" s="1023"/>
      <c r="N28" s="1023"/>
      <c r="O28" s="1023"/>
      <c r="P28" s="1035"/>
      <c r="Q28" s="1023"/>
      <c r="R28" s="1023"/>
      <c r="S28" s="1023"/>
    </row>
    <row r="29" spans="1:19">
      <c r="A29" s="1058">
        <f>A28+0.01</f>
        <v>5.0199999999999996</v>
      </c>
      <c r="B29" s="1023"/>
      <c r="C29" s="1035">
        <f>SUM(M29:O29)</f>
        <v>0</v>
      </c>
      <c r="D29" s="1035">
        <f>SUM(Q29:S29)</f>
        <v>0</v>
      </c>
      <c r="E29" s="1035"/>
      <c r="F29" s="1035"/>
      <c r="G29" s="1035">
        <f t="shared" si="3"/>
        <v>0</v>
      </c>
      <c r="H29" s="1035"/>
      <c r="I29" s="1035">
        <f t="shared" si="4"/>
        <v>0</v>
      </c>
      <c r="J29" s="1035">
        <f t="shared" si="4"/>
        <v>0</v>
      </c>
      <c r="K29" s="1035">
        <f t="shared" si="4"/>
        <v>0</v>
      </c>
      <c r="L29" s="1035"/>
      <c r="M29" s="1023"/>
      <c r="N29" s="1023"/>
      <c r="O29" s="1023"/>
      <c r="P29" s="1035"/>
      <c r="Q29" s="1023"/>
      <c r="R29" s="1023"/>
      <c r="S29" s="1023"/>
    </row>
    <row r="30" spans="1:19">
      <c r="A30" s="1058">
        <f t="shared" ref="A30:A68" si="5">A29+0.01</f>
        <v>5.0299999999999994</v>
      </c>
      <c r="B30" s="1023"/>
      <c r="C30" s="1035">
        <f t="shared" si="1"/>
        <v>0</v>
      </c>
      <c r="D30" s="1035">
        <f t="shared" si="2"/>
        <v>0</v>
      </c>
      <c r="E30" s="1035"/>
      <c r="F30" s="1035"/>
      <c r="G30" s="1035">
        <f t="shared" si="3"/>
        <v>0</v>
      </c>
      <c r="H30" s="1035"/>
      <c r="I30" s="1035">
        <f t="shared" si="4"/>
        <v>0</v>
      </c>
      <c r="J30" s="1035">
        <f t="shared" si="4"/>
        <v>0</v>
      </c>
      <c r="K30" s="1035">
        <f t="shared" si="4"/>
        <v>0</v>
      </c>
      <c r="L30" s="1035"/>
      <c r="M30" s="1065"/>
      <c r="N30" s="1065"/>
      <c r="O30" s="1023"/>
      <c r="P30" s="1035"/>
      <c r="Q30" s="1065"/>
      <c r="R30" s="1065"/>
      <c r="S30" s="1023"/>
    </row>
    <row r="31" spans="1:19">
      <c r="A31" s="1058">
        <f t="shared" si="5"/>
        <v>5.0399999999999991</v>
      </c>
      <c r="B31" s="1023"/>
      <c r="C31" s="1035">
        <f>SUM(M31:O31)</f>
        <v>0</v>
      </c>
      <c r="D31" s="1035">
        <f>SUM(Q31:S31)</f>
        <v>0</v>
      </c>
      <c r="E31" s="1035"/>
      <c r="F31" s="1035"/>
      <c r="G31" s="1035">
        <f t="shared" si="3"/>
        <v>0</v>
      </c>
      <c r="H31" s="1035"/>
      <c r="I31" s="1035">
        <f t="shared" si="4"/>
        <v>0</v>
      </c>
      <c r="J31" s="1035">
        <f t="shared" si="4"/>
        <v>0</v>
      </c>
      <c r="K31" s="1035">
        <f t="shared" si="4"/>
        <v>0</v>
      </c>
      <c r="L31" s="1035"/>
      <c r="M31" s="1023"/>
      <c r="N31" s="1023"/>
      <c r="O31" s="1023"/>
      <c r="P31" s="1035"/>
      <c r="Q31" s="1023"/>
      <c r="R31" s="1023"/>
      <c r="S31" s="1023"/>
    </row>
    <row r="32" spans="1:19">
      <c r="A32" s="1058">
        <f t="shared" si="5"/>
        <v>5.0499999999999989</v>
      </c>
      <c r="B32" s="1023"/>
      <c r="C32" s="1035">
        <f t="shared" si="1"/>
        <v>0</v>
      </c>
      <c r="D32" s="1035">
        <f t="shared" si="2"/>
        <v>0</v>
      </c>
      <c r="E32" s="1035"/>
      <c r="F32" s="1035"/>
      <c r="G32" s="1035">
        <f t="shared" si="3"/>
        <v>0</v>
      </c>
      <c r="H32" s="1035"/>
      <c r="I32" s="1035">
        <f t="shared" si="4"/>
        <v>0</v>
      </c>
      <c r="J32" s="1035">
        <f t="shared" si="4"/>
        <v>0</v>
      </c>
      <c r="K32" s="1035">
        <f t="shared" si="4"/>
        <v>0</v>
      </c>
      <c r="L32" s="1035"/>
      <c r="M32" s="1023"/>
      <c r="N32" s="1023"/>
      <c r="O32" s="1023"/>
      <c r="P32" s="1035"/>
      <c r="Q32" s="1023"/>
      <c r="R32" s="1023"/>
      <c r="S32" s="1023"/>
    </row>
    <row r="33" spans="1:19">
      <c r="A33" s="1058">
        <f t="shared" si="5"/>
        <v>5.0599999999999987</v>
      </c>
      <c r="B33" s="1023"/>
      <c r="C33" s="1035">
        <f t="shared" ref="C33:C39" si="6">SUM(M33:O33)</f>
        <v>0</v>
      </c>
      <c r="D33" s="1035">
        <f t="shared" ref="D33:D39" si="7">SUM(Q33:S33)</f>
        <v>0</v>
      </c>
      <c r="E33" s="1035"/>
      <c r="F33" s="1035"/>
      <c r="G33" s="1035">
        <f t="shared" si="3"/>
        <v>0</v>
      </c>
      <c r="H33" s="1035"/>
      <c r="I33" s="1035">
        <f t="shared" si="4"/>
        <v>0</v>
      </c>
      <c r="J33" s="1035">
        <f t="shared" si="4"/>
        <v>0</v>
      </c>
      <c r="K33" s="1035">
        <f t="shared" si="4"/>
        <v>0</v>
      </c>
      <c r="L33" s="1035"/>
      <c r="M33" s="1023"/>
      <c r="N33" s="1023"/>
      <c r="O33" s="1023"/>
      <c r="P33" s="1035"/>
      <c r="Q33" s="1023"/>
      <c r="R33" s="1023"/>
      <c r="S33" s="1023"/>
    </row>
    <row r="34" spans="1:19">
      <c r="A34" s="1058">
        <f t="shared" si="5"/>
        <v>5.0699999999999985</v>
      </c>
      <c r="B34" s="1023"/>
      <c r="C34" s="1039">
        <f t="shared" si="6"/>
        <v>0</v>
      </c>
      <c r="D34" s="1039">
        <f t="shared" si="7"/>
        <v>0</v>
      </c>
      <c r="E34" s="1039"/>
      <c r="F34" s="1039"/>
      <c r="G34" s="1039">
        <f t="shared" si="3"/>
        <v>0</v>
      </c>
      <c r="H34" s="1039"/>
      <c r="I34" s="1039">
        <f t="shared" si="4"/>
        <v>0</v>
      </c>
      <c r="J34" s="1039">
        <f t="shared" si="4"/>
        <v>0</v>
      </c>
      <c r="K34" s="1039">
        <f t="shared" si="4"/>
        <v>0</v>
      </c>
      <c r="L34" s="1039"/>
      <c r="M34" s="1023"/>
      <c r="N34" s="1065"/>
      <c r="O34" s="1023"/>
      <c r="P34" s="1035"/>
      <c r="Q34" s="1065"/>
      <c r="R34" s="1065"/>
      <c r="S34" s="1023"/>
    </row>
    <row r="35" spans="1:19">
      <c r="A35" s="1058">
        <f t="shared" si="5"/>
        <v>5.0799999999999983</v>
      </c>
      <c r="B35" s="1023"/>
      <c r="C35" s="1039">
        <f t="shared" si="6"/>
        <v>0</v>
      </c>
      <c r="D35" s="1039">
        <f t="shared" si="7"/>
        <v>0</v>
      </c>
      <c r="E35" s="1039"/>
      <c r="F35" s="1039"/>
      <c r="G35" s="1039">
        <f t="shared" si="3"/>
        <v>0</v>
      </c>
      <c r="H35" s="1039"/>
      <c r="I35" s="1039">
        <f t="shared" si="4"/>
        <v>0</v>
      </c>
      <c r="J35" s="1039">
        <f t="shared" si="4"/>
        <v>0</v>
      </c>
      <c r="K35" s="1039">
        <f t="shared" si="4"/>
        <v>0</v>
      </c>
      <c r="L35" s="1039"/>
      <c r="M35" s="1023"/>
      <c r="N35" s="1023"/>
      <c r="O35" s="1023"/>
      <c r="P35" s="1039"/>
      <c r="Q35" s="1023"/>
      <c r="R35" s="1023"/>
      <c r="S35" s="1023"/>
    </row>
    <row r="36" spans="1:19">
      <c r="A36" s="1058">
        <f t="shared" si="5"/>
        <v>5.0899999999999981</v>
      </c>
      <c r="B36" s="1023"/>
      <c r="C36" s="1035">
        <f>SUM(M36:O36)</f>
        <v>0</v>
      </c>
      <c r="D36" s="1035">
        <f t="shared" si="7"/>
        <v>0</v>
      </c>
      <c r="E36" s="1035"/>
      <c r="F36" s="1035"/>
      <c r="G36" s="1035">
        <f>ROUND(SUM(C36:F36)/2,0)</f>
        <v>0</v>
      </c>
      <c r="H36" s="1035"/>
      <c r="I36" s="1035">
        <f t="shared" si="4"/>
        <v>0</v>
      </c>
      <c r="J36" s="1035">
        <f t="shared" si="4"/>
        <v>0</v>
      </c>
      <c r="K36" s="1035">
        <f t="shared" si="4"/>
        <v>0</v>
      </c>
      <c r="L36" s="1035"/>
      <c r="M36" s="1023"/>
      <c r="N36" s="1023"/>
      <c r="O36" s="1023"/>
      <c r="P36" s="1035"/>
      <c r="Q36" s="1023"/>
      <c r="R36" s="1023"/>
      <c r="S36" s="1023"/>
    </row>
    <row r="37" spans="1:19">
      <c r="A37" s="1058">
        <f t="shared" si="5"/>
        <v>5.0999999999999979</v>
      </c>
      <c r="B37" s="1023"/>
      <c r="C37" s="1035">
        <f t="shared" si="6"/>
        <v>0</v>
      </c>
      <c r="D37" s="1035">
        <f t="shared" si="7"/>
        <v>0</v>
      </c>
      <c r="E37" s="1035"/>
      <c r="F37" s="1035"/>
      <c r="G37" s="1035">
        <f t="shared" si="3"/>
        <v>0</v>
      </c>
      <c r="H37" s="1035"/>
      <c r="I37" s="1035">
        <f t="shared" si="4"/>
        <v>0</v>
      </c>
      <c r="J37" s="1035">
        <f t="shared" si="4"/>
        <v>0</v>
      </c>
      <c r="K37" s="1035">
        <f t="shared" si="4"/>
        <v>0</v>
      </c>
      <c r="L37" s="1035"/>
      <c r="M37" s="1023"/>
      <c r="N37" s="1023"/>
      <c r="O37" s="1023"/>
      <c r="P37" s="1035"/>
      <c r="Q37" s="1023"/>
      <c r="R37" s="1023"/>
      <c r="S37" s="1023"/>
    </row>
    <row r="38" spans="1:19">
      <c r="A38" s="1058">
        <f t="shared" si="5"/>
        <v>5.1099999999999977</v>
      </c>
      <c r="B38" s="1023"/>
      <c r="C38" s="1035">
        <f t="shared" si="6"/>
        <v>0</v>
      </c>
      <c r="D38" s="1035">
        <f t="shared" si="7"/>
        <v>0</v>
      </c>
      <c r="E38" s="1035"/>
      <c r="F38" s="1035"/>
      <c r="G38" s="1035">
        <f t="shared" si="3"/>
        <v>0</v>
      </c>
      <c r="H38" s="1035"/>
      <c r="I38" s="1035">
        <f t="shared" si="4"/>
        <v>0</v>
      </c>
      <c r="J38" s="1035">
        <f t="shared" si="4"/>
        <v>0</v>
      </c>
      <c r="K38" s="1035">
        <f t="shared" si="4"/>
        <v>0</v>
      </c>
      <c r="L38" s="1035"/>
      <c r="M38" s="1023"/>
      <c r="N38" s="1023"/>
      <c r="O38" s="1023"/>
      <c r="P38" s="1035"/>
      <c r="Q38" s="1023"/>
      <c r="R38" s="1023"/>
      <c r="S38" s="1023"/>
    </row>
    <row r="39" spans="1:19">
      <c r="A39" s="1058">
        <f t="shared" si="5"/>
        <v>5.1199999999999974</v>
      </c>
      <c r="B39" s="1023"/>
      <c r="C39" s="1035">
        <f t="shared" si="6"/>
        <v>0</v>
      </c>
      <c r="D39" s="1035">
        <f t="shared" si="7"/>
        <v>0</v>
      </c>
      <c r="E39" s="1035"/>
      <c r="F39" s="1035"/>
      <c r="G39" s="1035">
        <f t="shared" si="3"/>
        <v>0</v>
      </c>
      <c r="H39" s="1035"/>
      <c r="I39" s="1035">
        <f t="shared" si="4"/>
        <v>0</v>
      </c>
      <c r="J39" s="1035">
        <f t="shared" si="4"/>
        <v>0</v>
      </c>
      <c r="K39" s="1035">
        <f t="shared" si="4"/>
        <v>0</v>
      </c>
      <c r="L39" s="1035"/>
      <c r="M39" s="1023"/>
      <c r="N39" s="1023"/>
      <c r="O39" s="1023"/>
      <c r="P39" s="1035"/>
      <c r="Q39" s="1023"/>
      <c r="R39" s="1023"/>
      <c r="S39" s="1023"/>
    </row>
    <row r="40" spans="1:19">
      <c r="A40" s="1058">
        <f t="shared" si="5"/>
        <v>5.1299999999999972</v>
      </c>
      <c r="B40" s="1023"/>
      <c r="C40" s="1035">
        <f t="shared" si="1"/>
        <v>0</v>
      </c>
      <c r="D40" s="1035">
        <f t="shared" si="2"/>
        <v>0</v>
      </c>
      <c r="E40" s="1035"/>
      <c r="F40" s="1035"/>
      <c r="G40" s="1035">
        <f t="shared" si="3"/>
        <v>0</v>
      </c>
      <c r="H40" s="1035"/>
      <c r="I40" s="1035">
        <f t="shared" si="4"/>
        <v>0</v>
      </c>
      <c r="J40" s="1035">
        <f t="shared" si="4"/>
        <v>0</v>
      </c>
      <c r="K40" s="1035">
        <f t="shared" si="4"/>
        <v>0</v>
      </c>
      <c r="L40" s="1035"/>
      <c r="M40" s="1023"/>
      <c r="N40" s="1023"/>
      <c r="O40" s="1023"/>
      <c r="P40" s="1035"/>
      <c r="Q40" s="1023"/>
      <c r="R40" s="1023"/>
      <c r="S40" s="1023"/>
    </row>
    <row r="41" spans="1:19">
      <c r="A41" s="1058">
        <f t="shared" si="5"/>
        <v>5.139999999999997</v>
      </c>
      <c r="B41" s="1023"/>
      <c r="C41" s="1035">
        <f t="shared" si="1"/>
        <v>0</v>
      </c>
      <c r="D41" s="1035">
        <f t="shared" si="2"/>
        <v>0</v>
      </c>
      <c r="E41" s="1035"/>
      <c r="F41" s="1035"/>
      <c r="G41" s="1035">
        <f t="shared" si="3"/>
        <v>0</v>
      </c>
      <c r="H41" s="1035"/>
      <c r="I41" s="1035">
        <f t="shared" si="4"/>
        <v>0</v>
      </c>
      <c r="J41" s="1035">
        <f t="shared" si="4"/>
        <v>0</v>
      </c>
      <c r="K41" s="1035">
        <f t="shared" si="4"/>
        <v>0</v>
      </c>
      <c r="L41" s="1035"/>
      <c r="M41" s="1023"/>
      <c r="N41" s="1023"/>
      <c r="O41" s="1023"/>
      <c r="P41" s="1035"/>
      <c r="Q41" s="1023"/>
      <c r="R41" s="1023"/>
      <c r="S41" s="1023"/>
    </row>
    <row r="42" spans="1:19">
      <c r="A42" s="1058">
        <f t="shared" si="5"/>
        <v>5.1499999999999968</v>
      </c>
      <c r="B42" s="1023"/>
      <c r="C42" s="1035">
        <f t="shared" si="1"/>
        <v>0</v>
      </c>
      <c r="D42" s="1035">
        <f t="shared" si="2"/>
        <v>0</v>
      </c>
      <c r="E42" s="1035"/>
      <c r="F42" s="1035"/>
      <c r="G42" s="1035">
        <f t="shared" si="3"/>
        <v>0</v>
      </c>
      <c r="H42" s="1035"/>
      <c r="I42" s="1035">
        <f t="shared" si="4"/>
        <v>0</v>
      </c>
      <c r="J42" s="1035">
        <f t="shared" si="4"/>
        <v>0</v>
      </c>
      <c r="K42" s="1035">
        <f t="shared" si="4"/>
        <v>0</v>
      </c>
      <c r="L42" s="1035"/>
      <c r="M42" s="1023"/>
      <c r="N42" s="1023"/>
      <c r="O42" s="1023"/>
      <c r="P42" s="1035"/>
      <c r="Q42" s="1023"/>
      <c r="R42" s="1023"/>
      <c r="S42" s="1023"/>
    </row>
    <row r="43" spans="1:19">
      <c r="A43" s="1058">
        <f t="shared" si="5"/>
        <v>5.1599999999999966</v>
      </c>
      <c r="B43" s="1023"/>
      <c r="C43" s="1035">
        <f t="shared" si="1"/>
        <v>0</v>
      </c>
      <c r="D43" s="1035">
        <f t="shared" si="2"/>
        <v>0</v>
      </c>
      <c r="E43" s="1035"/>
      <c r="F43" s="1035"/>
      <c r="G43" s="1035">
        <f t="shared" si="3"/>
        <v>0</v>
      </c>
      <c r="H43" s="1035"/>
      <c r="I43" s="1035">
        <f t="shared" si="4"/>
        <v>0</v>
      </c>
      <c r="J43" s="1035">
        <f t="shared" si="4"/>
        <v>0</v>
      </c>
      <c r="K43" s="1035">
        <f t="shared" si="4"/>
        <v>0</v>
      </c>
      <c r="L43" s="1035"/>
      <c r="M43" s="1023"/>
      <c r="N43" s="1023"/>
      <c r="O43" s="1023"/>
      <c r="P43" s="1035"/>
      <c r="Q43" s="1023"/>
      <c r="R43" s="1023"/>
      <c r="S43" s="1023"/>
    </row>
    <row r="44" spans="1:19">
      <c r="A44" s="1058">
        <f t="shared" si="5"/>
        <v>5.1699999999999964</v>
      </c>
      <c r="B44" s="1023"/>
      <c r="C44" s="1035">
        <f t="shared" si="1"/>
        <v>0</v>
      </c>
      <c r="D44" s="1035">
        <f t="shared" si="2"/>
        <v>0</v>
      </c>
      <c r="E44" s="1035"/>
      <c r="F44" s="1035"/>
      <c r="G44" s="1035">
        <f t="shared" si="3"/>
        <v>0</v>
      </c>
      <c r="H44" s="1035"/>
      <c r="I44" s="1035">
        <f t="shared" si="4"/>
        <v>0</v>
      </c>
      <c r="J44" s="1035">
        <f t="shared" si="4"/>
        <v>0</v>
      </c>
      <c r="K44" s="1035">
        <f t="shared" si="4"/>
        <v>0</v>
      </c>
      <c r="L44" s="1035"/>
      <c r="M44" s="1023"/>
      <c r="N44" s="1023"/>
      <c r="O44" s="1023"/>
      <c r="P44" s="1035"/>
      <c r="Q44" s="1023"/>
      <c r="R44" s="1023"/>
      <c r="S44" s="1023"/>
    </row>
    <row r="45" spans="1:19">
      <c r="A45" s="1058">
        <f t="shared" si="5"/>
        <v>5.1799999999999962</v>
      </c>
      <c r="B45" s="1023"/>
      <c r="C45" s="1035">
        <f t="shared" si="1"/>
        <v>0</v>
      </c>
      <c r="D45" s="1035">
        <f t="shared" si="2"/>
        <v>0</v>
      </c>
      <c r="E45" s="1035"/>
      <c r="F45" s="1035"/>
      <c r="G45" s="1035">
        <f t="shared" si="3"/>
        <v>0</v>
      </c>
      <c r="H45" s="1035"/>
      <c r="I45" s="1035">
        <f t="shared" si="4"/>
        <v>0</v>
      </c>
      <c r="J45" s="1035">
        <f t="shared" si="4"/>
        <v>0</v>
      </c>
      <c r="K45" s="1035">
        <f t="shared" si="4"/>
        <v>0</v>
      </c>
      <c r="L45" s="1035"/>
      <c r="M45" s="1023"/>
      <c r="N45" s="1023"/>
      <c r="O45" s="1023"/>
      <c r="P45" s="1035"/>
      <c r="Q45" s="1023"/>
      <c r="R45" s="1023"/>
      <c r="S45" s="1023"/>
    </row>
    <row r="46" spans="1:19">
      <c r="A46" s="1058">
        <f t="shared" si="5"/>
        <v>5.1899999999999959</v>
      </c>
      <c r="B46" s="1023"/>
      <c r="C46" s="1035">
        <f t="shared" si="1"/>
        <v>0</v>
      </c>
      <c r="D46" s="1035">
        <f t="shared" si="2"/>
        <v>0</v>
      </c>
      <c r="E46" s="1035"/>
      <c r="F46" s="1035"/>
      <c r="G46" s="1035">
        <f t="shared" si="3"/>
        <v>0</v>
      </c>
      <c r="H46" s="1035"/>
      <c r="I46" s="1035">
        <f t="shared" si="4"/>
        <v>0</v>
      </c>
      <c r="J46" s="1035">
        <f t="shared" si="4"/>
        <v>0</v>
      </c>
      <c r="K46" s="1035">
        <f t="shared" si="4"/>
        <v>0</v>
      </c>
      <c r="L46" s="1035"/>
      <c r="M46" s="1023"/>
      <c r="N46" s="1023"/>
      <c r="O46" s="1023"/>
      <c r="P46" s="1035"/>
      <c r="Q46" s="1023"/>
      <c r="R46" s="1023"/>
      <c r="S46" s="1023"/>
    </row>
    <row r="47" spans="1:19">
      <c r="A47" s="1058">
        <f t="shared" si="5"/>
        <v>5.1999999999999957</v>
      </c>
      <c r="B47" s="1023"/>
      <c r="C47" s="1035">
        <f t="shared" si="1"/>
        <v>0</v>
      </c>
      <c r="D47" s="1035">
        <f t="shared" si="2"/>
        <v>0</v>
      </c>
      <c r="E47" s="1035"/>
      <c r="F47" s="1035"/>
      <c r="G47" s="1035">
        <f t="shared" si="3"/>
        <v>0</v>
      </c>
      <c r="H47" s="1035"/>
      <c r="I47" s="1035">
        <f t="shared" si="4"/>
        <v>0</v>
      </c>
      <c r="J47" s="1035">
        <f t="shared" si="4"/>
        <v>0</v>
      </c>
      <c r="K47" s="1035">
        <f t="shared" si="4"/>
        <v>0</v>
      </c>
      <c r="L47" s="1035"/>
      <c r="M47" s="1023"/>
      <c r="N47" s="1023"/>
      <c r="O47" s="1023"/>
      <c r="P47" s="1035"/>
      <c r="Q47" s="1023"/>
      <c r="R47" s="1023"/>
      <c r="S47" s="1023"/>
    </row>
    <row r="48" spans="1:19">
      <c r="A48" s="1058">
        <f t="shared" si="5"/>
        <v>5.2099999999999955</v>
      </c>
      <c r="B48" s="1023"/>
      <c r="C48" s="1035">
        <f t="shared" si="1"/>
        <v>0</v>
      </c>
      <c r="D48" s="1035">
        <f t="shared" si="2"/>
        <v>0</v>
      </c>
      <c r="E48" s="1035"/>
      <c r="F48" s="1035"/>
      <c r="G48" s="1035">
        <f t="shared" si="3"/>
        <v>0</v>
      </c>
      <c r="H48" s="1035"/>
      <c r="I48" s="1035">
        <f t="shared" si="4"/>
        <v>0</v>
      </c>
      <c r="J48" s="1035">
        <f t="shared" si="4"/>
        <v>0</v>
      </c>
      <c r="K48" s="1035">
        <f t="shared" si="4"/>
        <v>0</v>
      </c>
      <c r="L48" s="1035"/>
      <c r="M48" s="1023"/>
      <c r="N48" s="1023"/>
      <c r="O48" s="1023"/>
      <c r="P48" s="1035"/>
      <c r="Q48" s="1023"/>
      <c r="R48" s="1023"/>
      <c r="S48" s="1023"/>
    </row>
    <row r="49" spans="1:19">
      <c r="A49" s="1058">
        <f t="shared" si="5"/>
        <v>5.2199999999999953</v>
      </c>
      <c r="B49" s="1023"/>
      <c r="C49" s="1035">
        <f t="shared" ref="C49:C55" si="8">SUM(M49:O49)</f>
        <v>0</v>
      </c>
      <c r="D49" s="1035">
        <f t="shared" ref="D49:D55" si="9">SUM(Q49:S49)</f>
        <v>0</v>
      </c>
      <c r="E49" s="1035"/>
      <c r="F49" s="1035"/>
      <c r="G49" s="1035">
        <f t="shared" si="3"/>
        <v>0</v>
      </c>
      <c r="H49" s="1035"/>
      <c r="I49" s="1035">
        <f t="shared" si="4"/>
        <v>0</v>
      </c>
      <c r="J49" s="1035">
        <f t="shared" si="4"/>
        <v>0</v>
      </c>
      <c r="K49" s="1035">
        <f t="shared" si="4"/>
        <v>0</v>
      </c>
      <c r="L49" s="1035"/>
      <c r="M49" s="1023"/>
      <c r="N49" s="1023"/>
      <c r="O49" s="1023"/>
      <c r="P49" s="1035"/>
      <c r="Q49" s="1023"/>
      <c r="R49" s="1023"/>
      <c r="S49" s="1023"/>
    </row>
    <row r="50" spans="1:19">
      <c r="A50" s="1058">
        <f t="shared" si="5"/>
        <v>5.2299999999999951</v>
      </c>
      <c r="B50" s="1023"/>
      <c r="C50" s="1035">
        <f t="shared" si="8"/>
        <v>0</v>
      </c>
      <c r="D50" s="1035">
        <f t="shared" si="9"/>
        <v>0</v>
      </c>
      <c r="E50" s="1035"/>
      <c r="F50" s="1035"/>
      <c r="G50" s="1035">
        <f t="shared" si="3"/>
        <v>0</v>
      </c>
      <c r="H50" s="1035"/>
      <c r="I50" s="1035">
        <f t="shared" si="4"/>
        <v>0</v>
      </c>
      <c r="J50" s="1035">
        <f t="shared" si="4"/>
        <v>0</v>
      </c>
      <c r="K50" s="1035">
        <f t="shared" si="4"/>
        <v>0</v>
      </c>
      <c r="L50" s="1035"/>
      <c r="M50" s="1023"/>
      <c r="N50" s="1023"/>
      <c r="O50" s="1023"/>
      <c r="P50" s="1035"/>
      <c r="Q50" s="1023"/>
      <c r="R50" s="1023"/>
      <c r="S50" s="1023"/>
    </row>
    <row r="51" spans="1:19">
      <c r="A51" s="1058">
        <f t="shared" si="5"/>
        <v>5.2399999999999949</v>
      </c>
      <c r="B51" s="1023"/>
      <c r="C51" s="1035">
        <f t="shared" si="8"/>
        <v>0</v>
      </c>
      <c r="D51" s="1035">
        <f t="shared" si="9"/>
        <v>0</v>
      </c>
      <c r="E51" s="1035"/>
      <c r="F51" s="1035"/>
      <c r="G51" s="1035">
        <f>ROUND(SUM(C51:F51)/2,0)</f>
        <v>0</v>
      </c>
      <c r="H51" s="1035"/>
      <c r="I51" s="1035">
        <f t="shared" si="4"/>
        <v>0</v>
      </c>
      <c r="J51" s="1035">
        <f t="shared" si="4"/>
        <v>0</v>
      </c>
      <c r="K51" s="1035">
        <f t="shared" si="4"/>
        <v>0</v>
      </c>
      <c r="L51" s="1035"/>
      <c r="M51" s="1023"/>
      <c r="N51" s="1023"/>
      <c r="O51" s="1023"/>
      <c r="P51" s="1035"/>
      <c r="Q51" s="1023"/>
      <c r="R51" s="1023"/>
      <c r="S51" s="1023"/>
    </row>
    <row r="52" spans="1:19">
      <c r="A52" s="1058">
        <f t="shared" si="5"/>
        <v>5.2499999999999947</v>
      </c>
      <c r="B52" s="1023"/>
      <c r="C52" s="1035">
        <f t="shared" si="8"/>
        <v>0</v>
      </c>
      <c r="D52" s="1035">
        <f t="shared" si="9"/>
        <v>0</v>
      </c>
      <c r="E52" s="1035"/>
      <c r="F52" s="1035"/>
      <c r="G52" s="1035">
        <f>ROUND(SUM(C52:F52)/2,0)</f>
        <v>0</v>
      </c>
      <c r="H52" s="1035"/>
      <c r="I52" s="1035">
        <f t="shared" si="4"/>
        <v>0</v>
      </c>
      <c r="J52" s="1035">
        <f t="shared" si="4"/>
        <v>0</v>
      </c>
      <c r="K52" s="1035">
        <f t="shared" si="4"/>
        <v>0</v>
      </c>
      <c r="L52" s="1035"/>
      <c r="M52" s="1023"/>
      <c r="N52" s="1023"/>
      <c r="O52" s="1023"/>
      <c r="P52" s="1035"/>
      <c r="Q52" s="1023"/>
      <c r="R52" s="1023"/>
      <c r="S52" s="1023"/>
    </row>
    <row r="53" spans="1:19">
      <c r="A53" s="1058">
        <f t="shared" si="5"/>
        <v>5.2599999999999945</v>
      </c>
      <c r="B53" s="1023"/>
      <c r="C53" s="1035">
        <f t="shared" si="8"/>
        <v>0</v>
      </c>
      <c r="D53" s="1035">
        <f t="shared" si="9"/>
        <v>0</v>
      </c>
      <c r="E53" s="1035"/>
      <c r="F53" s="1035"/>
      <c r="G53" s="1035">
        <f>ROUND(SUM(C53:F53)/2,0)</f>
        <v>0</v>
      </c>
      <c r="H53" s="1035"/>
      <c r="I53" s="1035">
        <f t="shared" si="4"/>
        <v>0</v>
      </c>
      <c r="J53" s="1035">
        <f t="shared" si="4"/>
        <v>0</v>
      </c>
      <c r="K53" s="1035">
        <f t="shared" si="4"/>
        <v>0</v>
      </c>
      <c r="L53" s="1035"/>
      <c r="M53" s="1023"/>
      <c r="N53" s="1023"/>
      <c r="O53" s="1023"/>
      <c r="P53" s="1035"/>
      <c r="Q53" s="1023"/>
      <c r="R53" s="1023"/>
      <c r="S53" s="1023"/>
    </row>
    <row r="54" spans="1:19">
      <c r="A54" s="1058">
        <f t="shared" si="5"/>
        <v>5.2699999999999942</v>
      </c>
      <c r="B54" s="1023"/>
      <c r="C54" s="1035">
        <f t="shared" si="8"/>
        <v>0</v>
      </c>
      <c r="D54" s="1035">
        <f t="shared" si="9"/>
        <v>0</v>
      </c>
      <c r="E54" s="1035"/>
      <c r="F54" s="1035"/>
      <c r="G54" s="1035">
        <f>ROUND(SUM(C54:F54)/2,0)</f>
        <v>0</v>
      </c>
      <c r="H54" s="1035"/>
      <c r="I54" s="1035">
        <f t="shared" si="4"/>
        <v>0</v>
      </c>
      <c r="J54" s="1035">
        <f t="shared" si="4"/>
        <v>0</v>
      </c>
      <c r="K54" s="1035">
        <f t="shared" si="4"/>
        <v>0</v>
      </c>
      <c r="L54" s="1035"/>
      <c r="M54" s="1023"/>
      <c r="N54" s="1023"/>
      <c r="O54" s="1023"/>
      <c r="P54" s="1035"/>
      <c r="Q54" s="1023"/>
      <c r="R54" s="1023"/>
      <c r="S54" s="1023"/>
    </row>
    <row r="55" spans="1:19">
      <c r="A55" s="1058">
        <f t="shared" si="5"/>
        <v>5.279999999999994</v>
      </c>
      <c r="B55" s="1023"/>
      <c r="C55" s="1035">
        <f t="shared" si="8"/>
        <v>0</v>
      </c>
      <c r="D55" s="1035">
        <f t="shared" si="9"/>
        <v>0</v>
      </c>
      <c r="E55" s="1035"/>
      <c r="F55" s="1035"/>
      <c r="G55" s="1035">
        <f>ROUND(SUM(C55:F55)/2,0)</f>
        <v>0</v>
      </c>
      <c r="H55" s="1035"/>
      <c r="I55" s="1035">
        <f t="shared" si="4"/>
        <v>0</v>
      </c>
      <c r="J55" s="1035">
        <f t="shared" si="4"/>
        <v>0</v>
      </c>
      <c r="K55" s="1035">
        <f t="shared" si="4"/>
        <v>0</v>
      </c>
      <c r="L55" s="1035"/>
      <c r="M55" s="1023"/>
      <c r="N55" s="1023"/>
      <c r="O55" s="1023"/>
      <c r="P55" s="1035"/>
      <c r="Q55" s="1023"/>
      <c r="R55" s="1023"/>
      <c r="S55" s="1023"/>
    </row>
    <row r="56" spans="1:19">
      <c r="A56" s="1058">
        <f t="shared" si="5"/>
        <v>5.2899999999999938</v>
      </c>
      <c r="B56" s="1023"/>
      <c r="C56" s="1035">
        <f t="shared" si="1"/>
        <v>0</v>
      </c>
      <c r="D56" s="1035">
        <f t="shared" si="2"/>
        <v>0</v>
      </c>
      <c r="E56" s="1035"/>
      <c r="F56" s="1035"/>
      <c r="G56" s="1035">
        <f t="shared" ref="G56:G68" si="10">ROUND(SUM(C56:F56)/2,0)</f>
        <v>0</v>
      </c>
      <c r="H56" s="1035"/>
      <c r="I56" s="1035">
        <f t="shared" si="4"/>
        <v>0</v>
      </c>
      <c r="J56" s="1035">
        <f t="shared" si="4"/>
        <v>0</v>
      </c>
      <c r="K56" s="1035">
        <f t="shared" si="4"/>
        <v>0</v>
      </c>
      <c r="L56" s="1035"/>
      <c r="M56" s="1023"/>
      <c r="N56" s="1023"/>
      <c r="O56" s="1023"/>
      <c r="P56" s="1035"/>
      <c r="Q56" s="1023"/>
      <c r="R56" s="1023"/>
      <c r="S56" s="1023"/>
    </row>
    <row r="57" spans="1:19">
      <c r="A57" s="1058">
        <f t="shared" si="5"/>
        <v>5.2999999999999936</v>
      </c>
      <c r="B57" s="1023"/>
      <c r="C57" s="1035">
        <f t="shared" si="1"/>
        <v>0</v>
      </c>
      <c r="D57" s="1035">
        <f t="shared" si="2"/>
        <v>0</v>
      </c>
      <c r="E57" s="1035"/>
      <c r="F57" s="1035"/>
      <c r="G57" s="1035">
        <f t="shared" si="10"/>
        <v>0</v>
      </c>
      <c r="H57" s="1035"/>
      <c r="I57" s="1035">
        <f t="shared" si="4"/>
        <v>0</v>
      </c>
      <c r="J57" s="1035">
        <f t="shared" si="4"/>
        <v>0</v>
      </c>
      <c r="K57" s="1035">
        <f t="shared" si="4"/>
        <v>0</v>
      </c>
      <c r="L57" s="1035"/>
      <c r="M57" s="1023"/>
      <c r="N57" s="1023"/>
      <c r="O57" s="1023"/>
      <c r="P57" s="1035"/>
      <c r="Q57" s="1023"/>
      <c r="R57" s="1023"/>
      <c r="S57" s="1023"/>
    </row>
    <row r="58" spans="1:19">
      <c r="A58" s="1058">
        <f t="shared" si="5"/>
        <v>5.3099999999999934</v>
      </c>
      <c r="B58" s="1023"/>
      <c r="C58" s="1035">
        <f>SUM(M58:O58)</f>
        <v>0</v>
      </c>
      <c r="D58" s="1035">
        <f>SUM(Q58:S58)</f>
        <v>0</v>
      </c>
      <c r="E58" s="1035"/>
      <c r="F58" s="1035"/>
      <c r="G58" s="1035">
        <f>ROUND(SUM(C58:F58)/2,0)</f>
        <v>0</v>
      </c>
      <c r="H58" s="1035"/>
      <c r="I58" s="1035">
        <f t="shared" si="4"/>
        <v>0</v>
      </c>
      <c r="J58" s="1035">
        <f t="shared" si="4"/>
        <v>0</v>
      </c>
      <c r="K58" s="1035">
        <f t="shared" si="4"/>
        <v>0</v>
      </c>
      <c r="L58" s="1035"/>
      <c r="M58" s="1023"/>
      <c r="N58" s="1023"/>
      <c r="O58" s="1023"/>
      <c r="P58" s="1035"/>
      <c r="Q58" s="1023"/>
      <c r="R58" s="1023"/>
      <c r="S58" s="1023"/>
    </row>
    <row r="59" spans="1:19">
      <c r="A59" s="1058">
        <f t="shared" si="5"/>
        <v>5.3199999999999932</v>
      </c>
      <c r="B59" s="1023"/>
      <c r="C59" s="1035">
        <f t="shared" si="1"/>
        <v>0</v>
      </c>
      <c r="D59" s="1035">
        <f t="shared" si="2"/>
        <v>0</v>
      </c>
      <c r="E59" s="1035"/>
      <c r="F59" s="1035"/>
      <c r="G59" s="1035">
        <f t="shared" si="10"/>
        <v>0</v>
      </c>
      <c r="H59" s="1035"/>
      <c r="I59" s="1035">
        <f t="shared" si="4"/>
        <v>0</v>
      </c>
      <c r="J59" s="1035">
        <f t="shared" si="4"/>
        <v>0</v>
      </c>
      <c r="K59" s="1035">
        <f t="shared" si="4"/>
        <v>0</v>
      </c>
      <c r="L59" s="1035"/>
      <c r="M59" s="1023"/>
      <c r="N59" s="1023"/>
      <c r="O59" s="1023"/>
      <c r="P59" s="1035"/>
      <c r="Q59" s="1023"/>
      <c r="R59" s="1023"/>
      <c r="S59" s="1023"/>
    </row>
    <row r="60" spans="1:19">
      <c r="A60" s="1058">
        <f t="shared" si="5"/>
        <v>5.329999999999993</v>
      </c>
      <c r="B60" s="1023"/>
      <c r="C60" s="1035">
        <f t="shared" si="1"/>
        <v>0</v>
      </c>
      <c r="D60" s="1035">
        <f t="shared" si="2"/>
        <v>0</v>
      </c>
      <c r="E60" s="1035"/>
      <c r="F60" s="1035"/>
      <c r="G60" s="1035">
        <f t="shared" si="10"/>
        <v>0</v>
      </c>
      <c r="H60" s="1035"/>
      <c r="I60" s="1035">
        <f t="shared" si="4"/>
        <v>0</v>
      </c>
      <c r="J60" s="1035">
        <f t="shared" si="4"/>
        <v>0</v>
      </c>
      <c r="K60" s="1035">
        <f t="shared" si="4"/>
        <v>0</v>
      </c>
      <c r="L60" s="1035"/>
      <c r="M60" s="1023"/>
      <c r="N60" s="1023"/>
      <c r="O60" s="1023"/>
      <c r="P60" s="1035"/>
      <c r="Q60" s="1023"/>
      <c r="R60" s="1023"/>
      <c r="S60" s="1023"/>
    </row>
    <row r="61" spans="1:19">
      <c r="A61" s="1058">
        <f t="shared" si="5"/>
        <v>5.3399999999999928</v>
      </c>
      <c r="B61" s="1023"/>
      <c r="C61" s="1039">
        <f>SUM(M61:O61)</f>
        <v>0</v>
      </c>
      <c r="D61" s="1039">
        <f>SUM(Q61:S61)</f>
        <v>0</v>
      </c>
      <c r="E61" s="1039"/>
      <c r="F61" s="1039"/>
      <c r="G61" s="1039">
        <f>ROUND(SUM(C61:F61)/2,0)</f>
        <v>0</v>
      </c>
      <c r="H61" s="1039"/>
      <c r="I61" s="1039">
        <f t="shared" si="4"/>
        <v>0</v>
      </c>
      <c r="J61" s="1039">
        <f t="shared" si="4"/>
        <v>0</v>
      </c>
      <c r="K61" s="1039">
        <f t="shared" si="4"/>
        <v>0</v>
      </c>
      <c r="L61" s="1039"/>
      <c r="M61" s="1023"/>
      <c r="N61" s="1023"/>
      <c r="O61" s="1023"/>
      <c r="P61" s="1039"/>
      <c r="Q61" s="1023"/>
      <c r="R61" s="1023"/>
      <c r="S61" s="1023"/>
    </row>
    <row r="62" spans="1:19">
      <c r="A62" s="1058">
        <f t="shared" si="5"/>
        <v>5.3499999999999925</v>
      </c>
      <c r="B62" s="1023"/>
      <c r="C62" s="1039">
        <f t="shared" si="1"/>
        <v>0</v>
      </c>
      <c r="D62" s="1039">
        <f t="shared" si="2"/>
        <v>0</v>
      </c>
      <c r="E62" s="1039"/>
      <c r="F62" s="1039"/>
      <c r="G62" s="1039">
        <f t="shared" si="10"/>
        <v>0</v>
      </c>
      <c r="H62" s="1039"/>
      <c r="I62" s="1039">
        <f t="shared" si="4"/>
        <v>0</v>
      </c>
      <c r="J62" s="1039">
        <f t="shared" si="4"/>
        <v>0</v>
      </c>
      <c r="K62" s="1039">
        <f t="shared" si="4"/>
        <v>0</v>
      </c>
      <c r="L62" s="1039"/>
      <c r="M62" s="1023"/>
      <c r="N62" s="1023"/>
      <c r="O62" s="1023"/>
      <c r="P62" s="1039"/>
      <c r="Q62" s="1023"/>
      <c r="R62" s="1023"/>
      <c r="S62" s="1023"/>
    </row>
    <row r="63" spans="1:19">
      <c r="A63" s="1058">
        <f t="shared" si="5"/>
        <v>5.3599999999999923</v>
      </c>
      <c r="B63" s="1023"/>
      <c r="C63" s="1035">
        <f t="shared" si="1"/>
        <v>0</v>
      </c>
      <c r="D63" s="1035">
        <f t="shared" si="2"/>
        <v>0</v>
      </c>
      <c r="E63" s="1035"/>
      <c r="F63" s="1035"/>
      <c r="G63" s="1035">
        <f t="shared" si="10"/>
        <v>0</v>
      </c>
      <c r="H63" s="1035"/>
      <c r="I63" s="1035">
        <f t="shared" si="4"/>
        <v>0</v>
      </c>
      <c r="J63" s="1035">
        <f t="shared" si="4"/>
        <v>0</v>
      </c>
      <c r="K63" s="1035">
        <f t="shared" si="4"/>
        <v>0</v>
      </c>
      <c r="L63" s="1035"/>
      <c r="M63" s="1023"/>
      <c r="N63" s="1023"/>
      <c r="O63" s="1023"/>
      <c r="P63" s="1035"/>
      <c r="Q63" s="1023"/>
      <c r="R63" s="1023"/>
      <c r="S63" s="1023"/>
    </row>
    <row r="64" spans="1:19">
      <c r="A64" s="1058">
        <f t="shared" si="5"/>
        <v>5.3699999999999921</v>
      </c>
      <c r="B64" s="1023"/>
      <c r="C64" s="1035">
        <f t="shared" si="1"/>
        <v>0</v>
      </c>
      <c r="D64" s="1035">
        <f t="shared" si="2"/>
        <v>0</v>
      </c>
      <c r="E64" s="1035"/>
      <c r="F64" s="1035"/>
      <c r="G64" s="1035">
        <f t="shared" si="10"/>
        <v>0</v>
      </c>
      <c r="H64" s="1035"/>
      <c r="I64" s="1035">
        <f t="shared" si="4"/>
        <v>0</v>
      </c>
      <c r="J64" s="1035">
        <f t="shared" si="4"/>
        <v>0</v>
      </c>
      <c r="K64" s="1035">
        <f t="shared" si="4"/>
        <v>0</v>
      </c>
      <c r="L64" s="1035"/>
      <c r="M64" s="1023"/>
      <c r="N64" s="1023"/>
      <c r="O64" s="1023"/>
      <c r="P64" s="1035"/>
      <c r="Q64" s="1023"/>
      <c r="R64" s="1023"/>
      <c r="S64" s="1023"/>
    </row>
    <row r="65" spans="1:19">
      <c r="A65" s="1058">
        <f t="shared" si="5"/>
        <v>5.3799999999999919</v>
      </c>
      <c r="B65" s="1023"/>
      <c r="C65" s="1035">
        <f>SUM(M65:O65)</f>
        <v>0</v>
      </c>
      <c r="D65" s="1035">
        <f>SUM(Q65:S65)</f>
        <v>0</v>
      </c>
      <c r="E65" s="1035"/>
      <c r="F65" s="1035"/>
      <c r="G65" s="1035">
        <f>ROUND(SUM(C65:F65)/2,0)</f>
        <v>0</v>
      </c>
      <c r="H65" s="1035"/>
      <c r="I65" s="1035">
        <f t="shared" si="4"/>
        <v>0</v>
      </c>
      <c r="J65" s="1035">
        <f t="shared" si="4"/>
        <v>0</v>
      </c>
      <c r="K65" s="1035">
        <f t="shared" si="4"/>
        <v>0</v>
      </c>
      <c r="L65" s="1035"/>
      <c r="M65" s="1023"/>
      <c r="N65" s="1023"/>
      <c r="O65" s="1023"/>
      <c r="P65" s="1035"/>
      <c r="Q65" s="1023"/>
      <c r="R65" s="1023"/>
      <c r="S65" s="1023"/>
    </row>
    <row r="66" spans="1:19">
      <c r="A66" s="1058">
        <f t="shared" si="5"/>
        <v>5.3899999999999917</v>
      </c>
      <c r="B66" s="1023"/>
      <c r="C66" s="1023"/>
      <c r="D66" s="1023"/>
      <c r="E66" s="1035">
        <f t="shared" ref="E66:F68" si="11">-C66</f>
        <v>0</v>
      </c>
      <c r="F66" s="1035">
        <f t="shared" si="11"/>
        <v>0</v>
      </c>
      <c r="G66" s="1035">
        <f t="shared" si="10"/>
        <v>0</v>
      </c>
      <c r="H66" s="1035"/>
      <c r="I66" s="1035"/>
      <c r="J66" s="1035"/>
      <c r="K66" s="1035"/>
      <c r="L66" s="1035"/>
      <c r="M66" s="1035"/>
      <c r="N66" s="1035"/>
      <c r="O66" s="1035"/>
      <c r="P66" s="1035"/>
      <c r="Q66" s="1035"/>
      <c r="R66" s="1035"/>
      <c r="S66" s="1035"/>
    </row>
    <row r="67" spans="1:19">
      <c r="A67" s="1058">
        <f t="shared" si="5"/>
        <v>5.3999999999999915</v>
      </c>
      <c r="B67" s="1023"/>
      <c r="C67" s="1023"/>
      <c r="D67" s="1023"/>
      <c r="E67" s="1035">
        <f t="shared" si="11"/>
        <v>0</v>
      </c>
      <c r="F67" s="1035">
        <f t="shared" si="11"/>
        <v>0</v>
      </c>
      <c r="G67" s="1035">
        <f t="shared" si="10"/>
        <v>0</v>
      </c>
      <c r="H67" s="1035"/>
      <c r="I67" s="1035"/>
      <c r="J67" s="1035"/>
      <c r="K67" s="1035"/>
      <c r="L67" s="1035"/>
      <c r="M67" s="1035"/>
      <c r="N67" s="1035"/>
      <c r="O67" s="1035"/>
      <c r="P67" s="1035"/>
      <c r="Q67" s="1035"/>
      <c r="R67" s="1035"/>
      <c r="S67" s="1035"/>
    </row>
    <row r="68" spans="1:19">
      <c r="A68" s="1058">
        <f t="shared" si="5"/>
        <v>5.4099999999999913</v>
      </c>
      <c r="B68" s="1023"/>
      <c r="C68" s="1023"/>
      <c r="D68" s="1023"/>
      <c r="E68" s="1035">
        <f t="shared" si="11"/>
        <v>0</v>
      </c>
      <c r="F68" s="1035">
        <f t="shared" si="11"/>
        <v>0</v>
      </c>
      <c r="G68" s="1035">
        <f t="shared" si="10"/>
        <v>0</v>
      </c>
      <c r="H68" s="1035"/>
      <c r="I68" s="1035"/>
      <c r="J68" s="1035"/>
      <c r="K68" s="1035"/>
      <c r="L68" s="1035"/>
      <c r="M68" s="1035"/>
      <c r="N68" s="1035"/>
      <c r="O68" s="1035"/>
      <c r="P68" s="1035"/>
      <c r="Q68" s="1035"/>
      <c r="R68" s="1035"/>
      <c r="S68" s="1035"/>
    </row>
    <row r="69" spans="1:19">
      <c r="A69" s="1016"/>
    </row>
    <row r="70" spans="1:19">
      <c r="A70" s="1044"/>
      <c r="B70" s="1027"/>
      <c r="C70" s="1035"/>
      <c r="D70" s="1035"/>
      <c r="E70" s="1035"/>
      <c r="F70" s="1035"/>
      <c r="G70" s="1035"/>
      <c r="H70" s="1035"/>
      <c r="I70" s="1035"/>
      <c r="J70" s="1035"/>
      <c r="K70" s="1035"/>
      <c r="L70" s="1035"/>
      <c r="M70" s="1035"/>
      <c r="N70" s="1035"/>
      <c r="O70" s="1035"/>
      <c r="P70" s="1035"/>
      <c r="Q70" s="1035"/>
      <c r="R70" s="1035"/>
      <c r="S70" s="1035"/>
    </row>
    <row r="71" spans="1:19" ht="13.5" thickBot="1">
      <c r="A71" s="1044">
        <v>6</v>
      </c>
      <c r="B71" s="1024" t="s">
        <v>674</v>
      </c>
      <c r="C71" s="1037">
        <f>SUM(C28:C70)</f>
        <v>0</v>
      </c>
      <c r="D71" s="1037">
        <f>SUM(D28:D70)</f>
        <v>0</v>
      </c>
      <c r="E71" s="1037">
        <f>SUM(E28:E70)</f>
        <v>0</v>
      </c>
      <c r="F71" s="1037">
        <f>SUM(F28:F70)</f>
        <v>0</v>
      </c>
      <c r="G71" s="1037">
        <f>SUM(G28:G70)</f>
        <v>0</v>
      </c>
      <c r="H71" s="1035"/>
      <c r="I71" s="1037">
        <f>SUM(I28:I70)</f>
        <v>0</v>
      </c>
      <c r="J71" s="1037">
        <f>SUM(J28:J70)</f>
        <v>0</v>
      </c>
      <c r="K71" s="1037">
        <f>SUM(K28:K70)</f>
        <v>0</v>
      </c>
      <c r="L71" s="1035"/>
      <c r="M71" s="1037">
        <f>SUM(M28:M70)</f>
        <v>0</v>
      </c>
      <c r="N71" s="1037">
        <f>SUM(N28:N70)</f>
        <v>0</v>
      </c>
      <c r="O71" s="1037">
        <f>SUM(O28:O70)</f>
        <v>0</v>
      </c>
      <c r="P71" s="1035"/>
      <c r="Q71" s="1037">
        <f>SUM(Q28:Q70)</f>
        <v>0</v>
      </c>
      <c r="R71" s="1037">
        <f>SUM(R28:R70)</f>
        <v>0</v>
      </c>
      <c r="S71" s="1037">
        <f>SUM(S28:S70)</f>
        <v>0</v>
      </c>
    </row>
    <row r="72" spans="1:19" ht="13.5" thickTop="1">
      <c r="A72" s="1044">
        <f>A71+1</f>
        <v>7</v>
      </c>
      <c r="B72" s="1027" t="s">
        <v>675</v>
      </c>
      <c r="C72" s="1038">
        <f>SUM(C34,C35,C61,C62)</f>
        <v>0</v>
      </c>
      <c r="D72" s="1038">
        <f>SUM(D34,D35,D61,D62)</f>
        <v>0</v>
      </c>
      <c r="E72" s="1038">
        <f>SUM(E34,E35,E61,E62)</f>
        <v>0</v>
      </c>
      <c r="F72" s="1038">
        <f>SUM(F34,F35,F61,F62)</f>
        <v>0</v>
      </c>
      <c r="G72" s="1038">
        <f>SUM(G34,G35,G61,G62)</f>
        <v>0</v>
      </c>
      <c r="H72" s="1035"/>
      <c r="I72" s="1038">
        <f>SUM(I34,I35,I61,I62)</f>
        <v>0</v>
      </c>
      <c r="J72" s="1038">
        <f>SUM(J34,J35,J61,J62)</f>
        <v>0</v>
      </c>
      <c r="K72" s="1038">
        <f>SUM(K34,K35,K61,K62)</f>
        <v>0</v>
      </c>
      <c r="L72" s="1038"/>
      <c r="M72" s="1038">
        <f>SUM(M34,M35,M61,M62)</f>
        <v>0</v>
      </c>
      <c r="N72" s="1038">
        <f>SUM(N34,N35,N61,N62)</f>
        <v>0</v>
      </c>
      <c r="O72" s="1038">
        <f>SUM(O34,O35,O61,O62)</f>
        <v>0</v>
      </c>
      <c r="P72" s="1035"/>
      <c r="Q72" s="1038">
        <f>SUM(Q34,Q35,Q61,Q62)</f>
        <v>0</v>
      </c>
      <c r="R72" s="1038">
        <f>SUM(R34,R35,R61,R62)</f>
        <v>0</v>
      </c>
      <c r="S72" s="1038">
        <f>SUM(S34,S35,S61,S62)</f>
        <v>0</v>
      </c>
    </row>
    <row r="73" spans="1:19">
      <c r="A73" s="1044"/>
      <c r="B73" s="1024"/>
      <c r="C73" s="1035"/>
      <c r="D73" s="1040"/>
      <c r="E73" s="1035"/>
      <c r="F73" s="1035"/>
      <c r="G73" s="1035"/>
      <c r="H73" s="1035"/>
      <c r="I73" s="1035"/>
      <c r="J73" s="1035"/>
      <c r="K73" s="1035"/>
      <c r="L73" s="1035"/>
      <c r="M73" s="1035"/>
      <c r="N73" s="1035"/>
      <c r="O73" s="1035"/>
      <c r="P73" s="1035"/>
      <c r="Q73" s="1035"/>
      <c r="R73" s="1035"/>
      <c r="S73" s="1035"/>
    </row>
    <row r="74" spans="1:19">
      <c r="A74" s="1044">
        <v>8</v>
      </c>
      <c r="B74" s="1021" t="s">
        <v>676</v>
      </c>
      <c r="C74" s="1035" t="s">
        <v>406</v>
      </c>
      <c r="D74" s="1035"/>
      <c r="E74" s="1035"/>
      <c r="F74" s="1035"/>
      <c r="G74" s="1035"/>
      <c r="H74" s="1035"/>
      <c r="I74" s="1035"/>
      <c r="J74" s="1035"/>
      <c r="K74" s="1035"/>
      <c r="L74" s="1035"/>
      <c r="M74" s="1035"/>
      <c r="N74" s="1035"/>
      <c r="O74" s="1035"/>
      <c r="P74" s="1035"/>
      <c r="Q74" s="1035"/>
      <c r="R74" s="1035"/>
      <c r="S74" s="1035"/>
    </row>
    <row r="75" spans="1:19">
      <c r="A75" s="1044"/>
      <c r="B75" s="1027"/>
      <c r="C75" s="1035"/>
      <c r="D75" s="1035"/>
      <c r="E75" s="1035"/>
      <c r="F75" s="1035"/>
      <c r="G75" s="1035"/>
      <c r="H75" s="1035"/>
      <c r="I75" s="1035"/>
      <c r="J75" s="1035"/>
      <c r="K75" s="1035"/>
      <c r="L75" s="1035"/>
      <c r="M75" s="1035"/>
      <c r="N75" s="1035"/>
      <c r="O75" s="1035"/>
      <c r="P75" s="1035"/>
      <c r="Q75" s="1035"/>
      <c r="R75" s="1035"/>
      <c r="S75" s="1035"/>
    </row>
    <row r="76" spans="1:19">
      <c r="A76" s="1058">
        <v>9.01</v>
      </c>
      <c r="B76" s="1023"/>
      <c r="C76" s="1035">
        <f>SUM(M76:O76)</f>
        <v>0</v>
      </c>
      <c r="D76" s="1035">
        <f t="shared" ref="D76:D139" si="12">SUM(Q76:S76)</f>
        <v>0</v>
      </c>
      <c r="E76" s="1035"/>
      <c r="F76" s="1035"/>
      <c r="G76" s="1035">
        <f t="shared" ref="G76:G130" si="13">ROUND(SUM(C76:F76)/2,0)</f>
        <v>0</v>
      </c>
      <c r="H76" s="1035"/>
      <c r="I76" s="1035">
        <f>(M76+Q76)/2</f>
        <v>0</v>
      </c>
      <c r="J76" s="1035">
        <f>(N76+R76)/2</f>
        <v>0</v>
      </c>
      <c r="K76" s="1035">
        <f>(O76+S76)/2</f>
        <v>0</v>
      </c>
      <c r="L76" s="1035"/>
      <c r="M76" s="1023"/>
      <c r="N76" s="1023"/>
      <c r="O76" s="1023"/>
      <c r="P76" s="1035"/>
      <c r="Q76" s="1023"/>
      <c r="R76" s="1023"/>
      <c r="S76" s="1023"/>
    </row>
    <row r="77" spans="1:19">
      <c r="A77" s="1058">
        <f>A76+0.01</f>
        <v>9.02</v>
      </c>
      <c r="B77" s="1023"/>
      <c r="C77" s="1035">
        <f t="shared" ref="C77:C140" si="14">SUM(M77:O77)</f>
        <v>0</v>
      </c>
      <c r="D77" s="1035">
        <f t="shared" si="12"/>
        <v>0</v>
      </c>
      <c r="E77" s="1035"/>
      <c r="F77" s="1035"/>
      <c r="G77" s="1035">
        <f>ROUND(SUM(C77:F77)/2,0)</f>
        <v>0</v>
      </c>
      <c r="H77" s="1035"/>
      <c r="I77" s="1035">
        <f t="shared" ref="I77:K136" si="15">(M77+Q77)/2</f>
        <v>0</v>
      </c>
      <c r="J77" s="1035">
        <f t="shared" si="15"/>
        <v>0</v>
      </c>
      <c r="K77" s="1035">
        <f t="shared" si="15"/>
        <v>0</v>
      </c>
      <c r="L77" s="1035"/>
      <c r="M77" s="1023"/>
      <c r="N77" s="1023"/>
      <c r="O77" s="1023"/>
      <c r="P77" s="1035"/>
      <c r="Q77" s="1023"/>
      <c r="R77" s="1023"/>
      <c r="S77" s="1023"/>
    </row>
    <row r="78" spans="1:19">
      <c r="A78" s="1058">
        <f t="shared" ref="A78:A141" si="16">A77+0.01</f>
        <v>9.0299999999999994</v>
      </c>
      <c r="B78" s="1023"/>
      <c r="C78" s="1035">
        <f t="shared" si="14"/>
        <v>0</v>
      </c>
      <c r="D78" s="1035">
        <f t="shared" si="12"/>
        <v>0</v>
      </c>
      <c r="E78" s="1035"/>
      <c r="F78" s="1035"/>
      <c r="G78" s="1035">
        <f t="shared" si="13"/>
        <v>0</v>
      </c>
      <c r="H78" s="1035"/>
      <c r="I78" s="1035">
        <f t="shared" si="15"/>
        <v>0</v>
      </c>
      <c r="J78" s="1035">
        <f t="shared" si="15"/>
        <v>0</v>
      </c>
      <c r="K78" s="1035">
        <f t="shared" si="15"/>
        <v>0</v>
      </c>
      <c r="L78" s="1035"/>
      <c r="M78" s="1023"/>
      <c r="N78" s="1023"/>
      <c r="O78" s="1023"/>
      <c r="P78" s="1035"/>
      <c r="Q78" s="1023"/>
      <c r="R78" s="1023"/>
      <c r="S78" s="1023"/>
    </row>
    <row r="79" spans="1:19">
      <c r="A79" s="1058">
        <f t="shared" si="16"/>
        <v>9.0399999999999991</v>
      </c>
      <c r="B79" s="1023"/>
      <c r="C79" s="1035">
        <f t="shared" si="14"/>
        <v>0</v>
      </c>
      <c r="D79" s="1035">
        <f t="shared" si="12"/>
        <v>0</v>
      </c>
      <c r="E79" s="1035"/>
      <c r="F79" s="1035"/>
      <c r="G79" s="1035">
        <f t="shared" si="13"/>
        <v>0</v>
      </c>
      <c r="H79" s="1035"/>
      <c r="I79" s="1035">
        <f t="shared" si="15"/>
        <v>0</v>
      </c>
      <c r="J79" s="1035">
        <f t="shared" si="15"/>
        <v>0</v>
      </c>
      <c r="K79" s="1035">
        <f t="shared" si="15"/>
        <v>0</v>
      </c>
      <c r="L79" s="1035"/>
      <c r="M79" s="1023"/>
      <c r="N79" s="1023"/>
      <c r="O79" s="1023"/>
      <c r="P79" s="1035"/>
      <c r="Q79" s="1023"/>
      <c r="R79" s="1023"/>
      <c r="S79" s="1023"/>
    </row>
    <row r="80" spans="1:19" hidden="1">
      <c r="A80" s="1058">
        <f t="shared" si="16"/>
        <v>9.0499999999999989</v>
      </c>
      <c r="B80" s="1023"/>
      <c r="C80" s="1035">
        <f t="shared" si="14"/>
        <v>0</v>
      </c>
      <c r="D80" s="1035">
        <f t="shared" si="12"/>
        <v>0</v>
      </c>
      <c r="E80" s="1035"/>
      <c r="F80" s="1035"/>
      <c r="G80" s="1035">
        <f t="shared" si="13"/>
        <v>0</v>
      </c>
      <c r="H80" s="1035"/>
      <c r="I80" s="1035">
        <f t="shared" si="15"/>
        <v>0</v>
      </c>
      <c r="J80" s="1035">
        <f t="shared" si="15"/>
        <v>0</v>
      </c>
      <c r="K80" s="1035">
        <f t="shared" si="15"/>
        <v>0</v>
      </c>
      <c r="L80" s="1035"/>
      <c r="M80" s="1023"/>
      <c r="N80" s="1023"/>
      <c r="O80" s="1023"/>
      <c r="P80" s="1035"/>
      <c r="Q80" s="1023"/>
      <c r="R80" s="1023"/>
      <c r="S80" s="1023"/>
    </row>
    <row r="81" spans="1:19" hidden="1">
      <c r="A81" s="1058">
        <f t="shared" si="16"/>
        <v>9.0599999999999987</v>
      </c>
      <c r="B81" s="1023"/>
      <c r="C81" s="1035">
        <f t="shared" si="14"/>
        <v>0</v>
      </c>
      <c r="D81" s="1035">
        <f t="shared" si="12"/>
        <v>0</v>
      </c>
      <c r="E81" s="1035"/>
      <c r="F81" s="1035"/>
      <c r="G81" s="1035">
        <f t="shared" si="13"/>
        <v>0</v>
      </c>
      <c r="H81" s="1035"/>
      <c r="I81" s="1035">
        <f t="shared" si="15"/>
        <v>0</v>
      </c>
      <c r="J81" s="1035">
        <f t="shared" si="15"/>
        <v>0</v>
      </c>
      <c r="K81" s="1035">
        <f t="shared" si="15"/>
        <v>0</v>
      </c>
      <c r="L81" s="1035"/>
      <c r="M81" s="1023"/>
      <c r="N81" s="1023"/>
      <c r="O81" s="1023"/>
      <c r="P81" s="1035"/>
      <c r="Q81" s="1023"/>
      <c r="R81" s="1023"/>
      <c r="S81" s="1023"/>
    </row>
    <row r="82" spans="1:19" hidden="1">
      <c r="A82" s="1058">
        <f t="shared" si="16"/>
        <v>9.0699999999999985</v>
      </c>
      <c r="B82" s="1023"/>
      <c r="C82" s="1035">
        <f t="shared" si="14"/>
        <v>0</v>
      </c>
      <c r="D82" s="1035">
        <f t="shared" si="12"/>
        <v>0</v>
      </c>
      <c r="E82" s="1035"/>
      <c r="F82" s="1035"/>
      <c r="G82" s="1035">
        <f>ROUND(SUM(C82:F82)/2,0)</f>
        <v>0</v>
      </c>
      <c r="H82" s="1035"/>
      <c r="I82" s="1035">
        <f t="shared" si="15"/>
        <v>0</v>
      </c>
      <c r="J82" s="1035">
        <f t="shared" si="15"/>
        <v>0</v>
      </c>
      <c r="K82" s="1035">
        <f t="shared" si="15"/>
        <v>0</v>
      </c>
      <c r="L82" s="1035"/>
      <c r="M82" s="1023"/>
      <c r="N82" s="1023"/>
      <c r="O82" s="1023"/>
      <c r="P82" s="1035"/>
      <c r="Q82" s="1023"/>
      <c r="R82" s="1023"/>
      <c r="S82" s="1023"/>
    </row>
    <row r="83" spans="1:19" hidden="1">
      <c r="A83" s="1058">
        <f t="shared" si="16"/>
        <v>9.0799999999999983</v>
      </c>
      <c r="B83" s="1023"/>
      <c r="C83" s="1035">
        <f t="shared" si="14"/>
        <v>0</v>
      </c>
      <c r="D83" s="1035">
        <f t="shared" si="12"/>
        <v>0</v>
      </c>
      <c r="E83" s="1035"/>
      <c r="F83" s="1035"/>
      <c r="G83" s="1035">
        <f>ROUND(SUM(C83:F83)/2,0)</f>
        <v>0</v>
      </c>
      <c r="H83" s="1035"/>
      <c r="I83" s="1035">
        <f t="shared" si="15"/>
        <v>0</v>
      </c>
      <c r="J83" s="1035">
        <f t="shared" si="15"/>
        <v>0</v>
      </c>
      <c r="K83" s="1035">
        <f t="shared" si="15"/>
        <v>0</v>
      </c>
      <c r="L83" s="1035"/>
      <c r="M83" s="1023"/>
      <c r="N83" s="1023"/>
      <c r="O83" s="1023"/>
      <c r="P83" s="1035"/>
      <c r="Q83" s="1023"/>
      <c r="R83" s="1023"/>
      <c r="S83" s="1023"/>
    </row>
    <row r="84" spans="1:19" hidden="1">
      <c r="A84" s="1058">
        <f t="shared" si="16"/>
        <v>9.0899999999999981</v>
      </c>
      <c r="B84" s="1023"/>
      <c r="C84" s="1035">
        <f t="shared" si="14"/>
        <v>0</v>
      </c>
      <c r="D84" s="1035">
        <f t="shared" si="12"/>
        <v>0</v>
      </c>
      <c r="E84" s="1035"/>
      <c r="F84" s="1035"/>
      <c r="G84" s="1035">
        <f t="shared" si="13"/>
        <v>0</v>
      </c>
      <c r="H84" s="1035"/>
      <c r="I84" s="1035">
        <f t="shared" si="15"/>
        <v>0</v>
      </c>
      <c r="J84" s="1035">
        <f t="shared" si="15"/>
        <v>0</v>
      </c>
      <c r="K84" s="1035">
        <f t="shared" si="15"/>
        <v>0</v>
      </c>
      <c r="L84" s="1035"/>
      <c r="M84" s="1023"/>
      <c r="N84" s="1023"/>
      <c r="O84" s="1023"/>
      <c r="P84" s="1035"/>
      <c r="Q84" s="1023"/>
      <c r="R84" s="1023"/>
      <c r="S84" s="1023"/>
    </row>
    <row r="85" spans="1:19" hidden="1">
      <c r="A85" s="1058">
        <f t="shared" si="16"/>
        <v>9.0999999999999979</v>
      </c>
      <c r="B85" s="1023"/>
      <c r="C85" s="1035">
        <f t="shared" si="14"/>
        <v>0</v>
      </c>
      <c r="D85" s="1035">
        <f t="shared" si="12"/>
        <v>0</v>
      </c>
      <c r="E85" s="1035"/>
      <c r="F85" s="1035"/>
      <c r="G85" s="1035">
        <f>ROUND(SUM(C85:F85)/2,0)</f>
        <v>0</v>
      </c>
      <c r="H85" s="1035"/>
      <c r="I85" s="1035">
        <f t="shared" si="15"/>
        <v>0</v>
      </c>
      <c r="J85" s="1035">
        <f t="shared" si="15"/>
        <v>0</v>
      </c>
      <c r="K85" s="1035">
        <f t="shared" si="15"/>
        <v>0</v>
      </c>
      <c r="L85" s="1035"/>
      <c r="M85" s="1023"/>
      <c r="N85" s="1023"/>
      <c r="O85" s="1023"/>
      <c r="P85" s="1035"/>
      <c r="Q85" s="1023"/>
      <c r="R85" s="1023"/>
      <c r="S85" s="1023"/>
    </row>
    <row r="86" spans="1:19" hidden="1">
      <c r="A86" s="1058">
        <f t="shared" si="16"/>
        <v>9.1099999999999977</v>
      </c>
      <c r="B86" s="1023"/>
      <c r="C86" s="1035">
        <f t="shared" si="14"/>
        <v>0</v>
      </c>
      <c r="D86" s="1035">
        <f t="shared" si="12"/>
        <v>0</v>
      </c>
      <c r="E86" s="1035"/>
      <c r="F86" s="1035"/>
      <c r="G86" s="1035">
        <f>ROUND(SUM(C86:F86)/2,0)</f>
        <v>0</v>
      </c>
      <c r="H86" s="1035"/>
      <c r="I86" s="1035">
        <f t="shared" si="15"/>
        <v>0</v>
      </c>
      <c r="J86" s="1035">
        <f t="shared" si="15"/>
        <v>0</v>
      </c>
      <c r="K86" s="1035">
        <f t="shared" si="15"/>
        <v>0</v>
      </c>
      <c r="L86" s="1035"/>
      <c r="M86" s="1023"/>
      <c r="N86" s="1023"/>
      <c r="O86" s="1023"/>
      <c r="P86" s="1035"/>
      <c r="Q86" s="1023"/>
      <c r="R86" s="1023"/>
      <c r="S86" s="1023"/>
    </row>
    <row r="87" spans="1:19" hidden="1">
      <c r="A87" s="1058">
        <f t="shared" si="16"/>
        <v>9.1199999999999974</v>
      </c>
      <c r="B87" s="1023"/>
      <c r="C87" s="1035">
        <f t="shared" si="14"/>
        <v>0</v>
      </c>
      <c r="D87" s="1035">
        <f t="shared" si="12"/>
        <v>0</v>
      </c>
      <c r="E87" s="1035"/>
      <c r="F87" s="1035"/>
      <c r="G87" s="1035">
        <f t="shared" si="13"/>
        <v>0</v>
      </c>
      <c r="H87" s="1035"/>
      <c r="I87" s="1035">
        <f t="shared" si="15"/>
        <v>0</v>
      </c>
      <c r="J87" s="1035">
        <f t="shared" si="15"/>
        <v>0</v>
      </c>
      <c r="K87" s="1035">
        <f t="shared" si="15"/>
        <v>0</v>
      </c>
      <c r="L87" s="1035"/>
      <c r="M87" s="1023"/>
      <c r="N87" s="1023"/>
      <c r="O87" s="1023"/>
      <c r="P87" s="1035"/>
      <c r="Q87" s="1023"/>
      <c r="R87" s="1023"/>
      <c r="S87" s="1023"/>
    </row>
    <row r="88" spans="1:19" hidden="1">
      <c r="A88" s="1058">
        <f t="shared" si="16"/>
        <v>9.1299999999999972</v>
      </c>
      <c r="B88" s="1023"/>
      <c r="C88" s="1035">
        <f t="shared" si="14"/>
        <v>0</v>
      </c>
      <c r="D88" s="1035">
        <f t="shared" si="12"/>
        <v>0</v>
      </c>
      <c r="E88" s="1035"/>
      <c r="F88" s="1035"/>
      <c r="G88" s="1035">
        <f t="shared" si="13"/>
        <v>0</v>
      </c>
      <c r="H88" s="1035"/>
      <c r="I88" s="1035">
        <f t="shared" si="15"/>
        <v>0</v>
      </c>
      <c r="J88" s="1035">
        <f t="shared" si="15"/>
        <v>0</v>
      </c>
      <c r="K88" s="1035">
        <f t="shared" si="15"/>
        <v>0</v>
      </c>
      <c r="L88" s="1035"/>
      <c r="M88" s="1023"/>
      <c r="N88" s="1023"/>
      <c r="O88" s="1023"/>
      <c r="P88" s="1035"/>
      <c r="Q88" s="1023"/>
      <c r="R88" s="1023"/>
      <c r="S88" s="1023"/>
    </row>
    <row r="89" spans="1:19" hidden="1">
      <c r="A89" s="1058">
        <f t="shared" si="16"/>
        <v>9.139999999999997</v>
      </c>
      <c r="B89" s="1023"/>
      <c r="C89" s="1035">
        <f t="shared" si="14"/>
        <v>0</v>
      </c>
      <c r="D89" s="1035">
        <f t="shared" si="12"/>
        <v>0</v>
      </c>
      <c r="E89" s="1035"/>
      <c r="F89" s="1035"/>
      <c r="G89" s="1035">
        <f t="shared" si="13"/>
        <v>0</v>
      </c>
      <c r="H89" s="1035"/>
      <c r="I89" s="1035">
        <f t="shared" si="15"/>
        <v>0</v>
      </c>
      <c r="J89" s="1035">
        <f t="shared" si="15"/>
        <v>0</v>
      </c>
      <c r="K89" s="1035">
        <f t="shared" si="15"/>
        <v>0</v>
      </c>
      <c r="L89" s="1035"/>
      <c r="M89" s="1023"/>
      <c r="N89" s="1023"/>
      <c r="O89" s="1023"/>
      <c r="P89" s="1035"/>
      <c r="Q89" s="1023"/>
      <c r="R89" s="1023"/>
      <c r="S89" s="1023"/>
    </row>
    <row r="90" spans="1:19" hidden="1">
      <c r="A90" s="1058">
        <f t="shared" si="16"/>
        <v>9.1499999999999968</v>
      </c>
      <c r="B90" s="1023"/>
      <c r="C90" s="1035">
        <f t="shared" si="14"/>
        <v>0</v>
      </c>
      <c r="D90" s="1035">
        <f t="shared" si="12"/>
        <v>0</v>
      </c>
      <c r="E90" s="1035"/>
      <c r="F90" s="1035"/>
      <c r="G90" s="1035">
        <f t="shared" si="13"/>
        <v>0</v>
      </c>
      <c r="H90" s="1035"/>
      <c r="I90" s="1035">
        <f t="shared" si="15"/>
        <v>0</v>
      </c>
      <c r="J90" s="1035">
        <f t="shared" si="15"/>
        <v>0</v>
      </c>
      <c r="K90" s="1035">
        <f t="shared" si="15"/>
        <v>0</v>
      </c>
      <c r="L90" s="1035"/>
      <c r="M90" s="1023"/>
      <c r="N90" s="1023"/>
      <c r="O90" s="1023"/>
      <c r="P90" s="1035"/>
      <c r="Q90" s="1023"/>
      <c r="R90" s="1023"/>
      <c r="S90" s="1023"/>
    </row>
    <row r="91" spans="1:19" hidden="1">
      <c r="A91" s="1058">
        <f t="shared" si="16"/>
        <v>9.1599999999999966</v>
      </c>
      <c r="B91" s="1023"/>
      <c r="C91" s="1035">
        <f t="shared" si="14"/>
        <v>0</v>
      </c>
      <c r="D91" s="1035">
        <f t="shared" si="12"/>
        <v>0</v>
      </c>
      <c r="E91" s="1035"/>
      <c r="F91" s="1035"/>
      <c r="G91" s="1035">
        <f t="shared" si="13"/>
        <v>0</v>
      </c>
      <c r="H91" s="1035"/>
      <c r="I91" s="1035">
        <f t="shared" si="15"/>
        <v>0</v>
      </c>
      <c r="J91" s="1035">
        <f t="shared" si="15"/>
        <v>0</v>
      </c>
      <c r="K91" s="1035">
        <f t="shared" si="15"/>
        <v>0</v>
      </c>
      <c r="L91" s="1035"/>
      <c r="M91" s="1023"/>
      <c r="N91" s="1023"/>
      <c r="O91" s="1023"/>
      <c r="P91" s="1035"/>
      <c r="Q91" s="1023"/>
      <c r="R91" s="1023"/>
      <c r="S91" s="1023"/>
    </row>
    <row r="92" spans="1:19" hidden="1">
      <c r="A92" s="1058">
        <f t="shared" si="16"/>
        <v>9.1699999999999964</v>
      </c>
      <c r="B92" s="1023"/>
      <c r="C92" s="1035">
        <f t="shared" si="14"/>
        <v>0</v>
      </c>
      <c r="D92" s="1035">
        <f t="shared" si="12"/>
        <v>0</v>
      </c>
      <c r="E92" s="1035"/>
      <c r="F92" s="1035"/>
      <c r="G92" s="1035">
        <f t="shared" si="13"/>
        <v>0</v>
      </c>
      <c r="H92" s="1035"/>
      <c r="I92" s="1035">
        <f t="shared" si="15"/>
        <v>0</v>
      </c>
      <c r="J92" s="1035">
        <f t="shared" si="15"/>
        <v>0</v>
      </c>
      <c r="K92" s="1035">
        <f t="shared" si="15"/>
        <v>0</v>
      </c>
      <c r="L92" s="1035"/>
      <c r="M92" s="1023"/>
      <c r="N92" s="1023"/>
      <c r="O92" s="1023"/>
      <c r="P92" s="1035"/>
      <c r="Q92" s="1023"/>
      <c r="R92" s="1023"/>
      <c r="S92" s="1023"/>
    </row>
    <row r="93" spans="1:19" hidden="1">
      <c r="A93" s="1058">
        <f t="shared" si="16"/>
        <v>9.1799999999999962</v>
      </c>
      <c r="B93" s="1023"/>
      <c r="C93" s="1035">
        <f t="shared" si="14"/>
        <v>0</v>
      </c>
      <c r="D93" s="1035">
        <f t="shared" si="12"/>
        <v>0</v>
      </c>
      <c r="E93" s="1035"/>
      <c r="F93" s="1035"/>
      <c r="G93" s="1035">
        <f t="shared" si="13"/>
        <v>0</v>
      </c>
      <c r="H93" s="1035"/>
      <c r="I93" s="1035">
        <f t="shared" si="15"/>
        <v>0</v>
      </c>
      <c r="J93" s="1035">
        <f t="shared" si="15"/>
        <v>0</v>
      </c>
      <c r="K93" s="1035">
        <f t="shared" si="15"/>
        <v>0</v>
      </c>
      <c r="L93" s="1035"/>
      <c r="M93" s="1023"/>
      <c r="N93" s="1023"/>
      <c r="O93" s="1023"/>
      <c r="P93" s="1035"/>
      <c r="Q93" s="1023"/>
      <c r="R93" s="1023"/>
      <c r="S93" s="1023"/>
    </row>
    <row r="94" spans="1:19" hidden="1">
      <c r="A94" s="1058">
        <f t="shared" si="16"/>
        <v>9.1899999999999959</v>
      </c>
      <c r="B94" s="1023"/>
      <c r="C94" s="1035">
        <f t="shared" si="14"/>
        <v>0</v>
      </c>
      <c r="D94" s="1035">
        <f t="shared" si="12"/>
        <v>0</v>
      </c>
      <c r="E94" s="1035"/>
      <c r="F94" s="1035"/>
      <c r="G94" s="1035">
        <f t="shared" si="13"/>
        <v>0</v>
      </c>
      <c r="H94" s="1035"/>
      <c r="I94" s="1035">
        <f t="shared" si="15"/>
        <v>0</v>
      </c>
      <c r="J94" s="1035">
        <f t="shared" si="15"/>
        <v>0</v>
      </c>
      <c r="K94" s="1035">
        <f t="shared" si="15"/>
        <v>0</v>
      </c>
      <c r="L94" s="1035"/>
      <c r="M94" s="1023"/>
      <c r="N94" s="1023"/>
      <c r="O94" s="1023"/>
      <c r="P94" s="1035"/>
      <c r="Q94" s="1023"/>
      <c r="R94" s="1023"/>
      <c r="S94" s="1023"/>
    </row>
    <row r="95" spans="1:19" hidden="1">
      <c r="A95" s="1058">
        <f t="shared" si="16"/>
        <v>9.1999999999999957</v>
      </c>
      <c r="B95" s="1023"/>
      <c r="C95" s="1035">
        <f t="shared" si="14"/>
        <v>0</v>
      </c>
      <c r="D95" s="1035">
        <f t="shared" si="12"/>
        <v>0</v>
      </c>
      <c r="E95" s="1035"/>
      <c r="F95" s="1035"/>
      <c r="G95" s="1035">
        <f t="shared" si="13"/>
        <v>0</v>
      </c>
      <c r="H95" s="1035"/>
      <c r="I95" s="1035">
        <f t="shared" si="15"/>
        <v>0</v>
      </c>
      <c r="J95" s="1035">
        <f t="shared" si="15"/>
        <v>0</v>
      </c>
      <c r="K95" s="1035">
        <f t="shared" si="15"/>
        <v>0</v>
      </c>
      <c r="L95" s="1035"/>
      <c r="M95" s="1023"/>
      <c r="N95" s="1023"/>
      <c r="O95" s="1023"/>
      <c r="P95" s="1035"/>
      <c r="Q95" s="1023"/>
      <c r="R95" s="1023"/>
      <c r="S95" s="1023"/>
    </row>
    <row r="96" spans="1:19" hidden="1">
      <c r="A96" s="1058">
        <f t="shared" si="16"/>
        <v>9.2099999999999955</v>
      </c>
      <c r="B96" s="1023"/>
      <c r="C96" s="1035">
        <f t="shared" si="14"/>
        <v>0</v>
      </c>
      <c r="D96" s="1035">
        <f t="shared" si="12"/>
        <v>0</v>
      </c>
      <c r="E96" s="1035"/>
      <c r="F96" s="1035"/>
      <c r="G96" s="1035">
        <f t="shared" si="13"/>
        <v>0</v>
      </c>
      <c r="H96" s="1035"/>
      <c r="I96" s="1035">
        <f t="shared" si="15"/>
        <v>0</v>
      </c>
      <c r="J96" s="1035">
        <f t="shared" si="15"/>
        <v>0</v>
      </c>
      <c r="K96" s="1035">
        <f t="shared" si="15"/>
        <v>0</v>
      </c>
      <c r="L96" s="1035"/>
      <c r="M96" s="1023"/>
      <c r="N96" s="1023"/>
      <c r="O96" s="1023"/>
      <c r="P96" s="1035"/>
      <c r="Q96" s="1023"/>
      <c r="R96" s="1023"/>
      <c r="S96" s="1023"/>
    </row>
    <row r="97" spans="1:19" hidden="1">
      <c r="A97" s="1058">
        <f t="shared" si="16"/>
        <v>9.2199999999999953</v>
      </c>
      <c r="B97" s="1023"/>
      <c r="C97" s="1035">
        <f t="shared" si="14"/>
        <v>0</v>
      </c>
      <c r="D97" s="1035">
        <f t="shared" si="12"/>
        <v>0</v>
      </c>
      <c r="E97" s="1035"/>
      <c r="F97" s="1035"/>
      <c r="G97" s="1035">
        <f t="shared" si="13"/>
        <v>0</v>
      </c>
      <c r="H97" s="1035"/>
      <c r="I97" s="1035">
        <f t="shared" si="15"/>
        <v>0</v>
      </c>
      <c r="J97" s="1035">
        <f t="shared" si="15"/>
        <v>0</v>
      </c>
      <c r="K97" s="1035">
        <f t="shared" si="15"/>
        <v>0</v>
      </c>
      <c r="L97" s="1035"/>
      <c r="M97" s="1023"/>
      <c r="N97" s="1023"/>
      <c r="O97" s="1023"/>
      <c r="P97" s="1035"/>
      <c r="Q97" s="1023"/>
      <c r="R97" s="1023"/>
      <c r="S97" s="1023"/>
    </row>
    <row r="98" spans="1:19" hidden="1">
      <c r="A98" s="1058">
        <f t="shared" si="16"/>
        <v>9.2299999999999951</v>
      </c>
      <c r="B98" s="1023"/>
      <c r="C98" s="1035">
        <f t="shared" si="14"/>
        <v>0</v>
      </c>
      <c r="D98" s="1035">
        <f t="shared" si="12"/>
        <v>0</v>
      </c>
      <c r="E98" s="1035"/>
      <c r="F98" s="1035"/>
      <c r="G98" s="1035">
        <f t="shared" si="13"/>
        <v>0</v>
      </c>
      <c r="H98" s="1035"/>
      <c r="I98" s="1035">
        <f t="shared" si="15"/>
        <v>0</v>
      </c>
      <c r="J98" s="1035">
        <f t="shared" si="15"/>
        <v>0</v>
      </c>
      <c r="K98" s="1035">
        <f t="shared" si="15"/>
        <v>0</v>
      </c>
      <c r="L98" s="1035"/>
      <c r="M98" s="1023"/>
      <c r="N98" s="1023"/>
      <c r="O98" s="1023"/>
      <c r="P98" s="1035"/>
      <c r="Q98" s="1023"/>
      <c r="R98" s="1023"/>
      <c r="S98" s="1023"/>
    </row>
    <row r="99" spans="1:19" hidden="1">
      <c r="A99" s="1058">
        <f t="shared" si="16"/>
        <v>9.2399999999999949</v>
      </c>
      <c r="B99" s="1023"/>
      <c r="C99" s="1035">
        <f t="shared" si="14"/>
        <v>0</v>
      </c>
      <c r="D99" s="1035">
        <f t="shared" si="12"/>
        <v>0</v>
      </c>
      <c r="E99" s="1035"/>
      <c r="F99" s="1035"/>
      <c r="G99" s="1035">
        <f t="shared" si="13"/>
        <v>0</v>
      </c>
      <c r="H99" s="1035"/>
      <c r="I99" s="1035">
        <f t="shared" si="15"/>
        <v>0</v>
      </c>
      <c r="J99" s="1035">
        <f t="shared" si="15"/>
        <v>0</v>
      </c>
      <c r="K99" s="1035">
        <f t="shared" si="15"/>
        <v>0</v>
      </c>
      <c r="L99" s="1035"/>
      <c r="M99" s="1023"/>
      <c r="N99" s="1023"/>
      <c r="O99" s="1023"/>
      <c r="P99" s="1035"/>
      <c r="Q99" s="1023"/>
      <c r="R99" s="1023"/>
      <c r="S99" s="1023"/>
    </row>
    <row r="100" spans="1:19" hidden="1">
      <c r="A100" s="1058">
        <f t="shared" si="16"/>
        <v>9.2499999999999947</v>
      </c>
      <c r="B100" s="1023"/>
      <c r="C100" s="1035">
        <f t="shared" si="14"/>
        <v>0</v>
      </c>
      <c r="D100" s="1035">
        <f t="shared" si="12"/>
        <v>0</v>
      </c>
      <c r="E100" s="1035"/>
      <c r="F100" s="1035"/>
      <c r="G100" s="1035">
        <f>ROUND(SUM(C100:F100)/2,0)</f>
        <v>0</v>
      </c>
      <c r="H100" s="1035"/>
      <c r="I100" s="1035">
        <f t="shared" si="15"/>
        <v>0</v>
      </c>
      <c r="J100" s="1035">
        <f t="shared" si="15"/>
        <v>0</v>
      </c>
      <c r="K100" s="1035">
        <f t="shared" si="15"/>
        <v>0</v>
      </c>
      <c r="L100" s="1035"/>
      <c r="M100" s="1023"/>
      <c r="N100" s="1023"/>
      <c r="O100" s="1023"/>
      <c r="P100" s="1035"/>
      <c r="Q100" s="1023"/>
      <c r="R100" s="1023"/>
      <c r="S100" s="1023"/>
    </row>
    <row r="101" spans="1:19" hidden="1">
      <c r="A101" s="1058">
        <f t="shared" si="16"/>
        <v>9.2599999999999945</v>
      </c>
      <c r="B101" s="1023"/>
      <c r="C101" s="1035">
        <f t="shared" si="14"/>
        <v>0</v>
      </c>
      <c r="D101" s="1035">
        <f t="shared" si="12"/>
        <v>0</v>
      </c>
      <c r="E101" s="1035"/>
      <c r="F101" s="1035"/>
      <c r="G101" s="1035">
        <f t="shared" si="13"/>
        <v>0</v>
      </c>
      <c r="H101" s="1035"/>
      <c r="I101" s="1035">
        <f t="shared" si="15"/>
        <v>0</v>
      </c>
      <c r="J101" s="1035">
        <f t="shared" si="15"/>
        <v>0</v>
      </c>
      <c r="K101" s="1035">
        <f t="shared" si="15"/>
        <v>0</v>
      </c>
      <c r="L101" s="1035"/>
      <c r="M101" s="1023"/>
      <c r="N101" s="1023"/>
      <c r="O101" s="1023"/>
      <c r="P101" s="1035"/>
      <c r="Q101" s="1023"/>
      <c r="R101" s="1023"/>
      <c r="S101" s="1023"/>
    </row>
    <row r="102" spans="1:19" hidden="1">
      <c r="A102" s="1058">
        <f t="shared" si="16"/>
        <v>9.2699999999999942</v>
      </c>
      <c r="B102" s="1023"/>
      <c r="C102" s="1035">
        <f t="shared" si="14"/>
        <v>0</v>
      </c>
      <c r="D102" s="1035">
        <f t="shared" si="12"/>
        <v>0</v>
      </c>
      <c r="E102" s="1035"/>
      <c r="F102" s="1035"/>
      <c r="G102" s="1035">
        <f t="shared" si="13"/>
        <v>0</v>
      </c>
      <c r="H102" s="1035"/>
      <c r="I102" s="1035">
        <f t="shared" si="15"/>
        <v>0</v>
      </c>
      <c r="J102" s="1035">
        <f t="shared" si="15"/>
        <v>0</v>
      </c>
      <c r="K102" s="1035">
        <f t="shared" si="15"/>
        <v>0</v>
      </c>
      <c r="L102" s="1035"/>
      <c r="M102" s="1023"/>
      <c r="N102" s="1023"/>
      <c r="O102" s="1023"/>
      <c r="P102" s="1035"/>
      <c r="Q102" s="1023"/>
      <c r="R102" s="1023"/>
      <c r="S102" s="1023"/>
    </row>
    <row r="103" spans="1:19" hidden="1">
      <c r="A103" s="1058">
        <f t="shared" si="16"/>
        <v>9.279999999999994</v>
      </c>
      <c r="B103" s="1023"/>
      <c r="C103" s="1035">
        <f t="shared" si="14"/>
        <v>0</v>
      </c>
      <c r="D103" s="1035">
        <f t="shared" si="12"/>
        <v>0</v>
      </c>
      <c r="E103" s="1035"/>
      <c r="F103" s="1035"/>
      <c r="G103" s="1035">
        <f>ROUND(SUM(C103:F103)/2,0)</f>
        <v>0</v>
      </c>
      <c r="H103" s="1035"/>
      <c r="I103" s="1035">
        <f t="shared" si="15"/>
        <v>0</v>
      </c>
      <c r="J103" s="1035">
        <f t="shared" si="15"/>
        <v>0</v>
      </c>
      <c r="K103" s="1035">
        <f t="shared" si="15"/>
        <v>0</v>
      </c>
      <c r="L103" s="1035"/>
      <c r="M103" s="1023"/>
      <c r="N103" s="1023"/>
      <c r="O103" s="1023"/>
      <c r="P103" s="1035"/>
      <c r="Q103" s="1023"/>
      <c r="R103" s="1023"/>
      <c r="S103" s="1023"/>
    </row>
    <row r="104" spans="1:19" hidden="1">
      <c r="A104" s="1058">
        <f t="shared" si="16"/>
        <v>9.2899999999999938</v>
      </c>
      <c r="B104" s="1023"/>
      <c r="C104" s="1035">
        <f t="shared" si="14"/>
        <v>0</v>
      </c>
      <c r="D104" s="1035">
        <f t="shared" si="12"/>
        <v>0</v>
      </c>
      <c r="E104" s="1035"/>
      <c r="F104" s="1035"/>
      <c r="G104" s="1035">
        <f t="shared" si="13"/>
        <v>0</v>
      </c>
      <c r="H104" s="1035"/>
      <c r="I104" s="1035">
        <f t="shared" si="15"/>
        <v>0</v>
      </c>
      <c r="J104" s="1035">
        <f t="shared" si="15"/>
        <v>0</v>
      </c>
      <c r="K104" s="1035">
        <f t="shared" si="15"/>
        <v>0</v>
      </c>
      <c r="L104" s="1035"/>
      <c r="M104" s="1023"/>
      <c r="N104" s="1023"/>
      <c r="O104" s="1023"/>
      <c r="P104" s="1035"/>
      <c r="Q104" s="1023"/>
      <c r="R104" s="1023"/>
      <c r="S104" s="1023"/>
    </row>
    <row r="105" spans="1:19" hidden="1">
      <c r="A105" s="1058">
        <f t="shared" si="16"/>
        <v>9.2999999999999936</v>
      </c>
      <c r="B105" s="1023"/>
      <c r="C105" s="1035">
        <f t="shared" si="14"/>
        <v>0</v>
      </c>
      <c r="D105" s="1035">
        <f t="shared" si="12"/>
        <v>0</v>
      </c>
      <c r="E105" s="1035"/>
      <c r="F105" s="1035"/>
      <c r="G105" s="1035">
        <f t="shared" si="13"/>
        <v>0</v>
      </c>
      <c r="H105" s="1035"/>
      <c r="I105" s="1035">
        <f t="shared" si="15"/>
        <v>0</v>
      </c>
      <c r="J105" s="1035">
        <f t="shared" si="15"/>
        <v>0</v>
      </c>
      <c r="K105" s="1035">
        <f t="shared" si="15"/>
        <v>0</v>
      </c>
      <c r="L105" s="1035"/>
      <c r="M105" s="1023"/>
      <c r="N105" s="1023"/>
      <c r="O105" s="1023"/>
      <c r="P105" s="1035"/>
      <c r="Q105" s="1023"/>
      <c r="R105" s="1023"/>
      <c r="S105" s="1023"/>
    </row>
    <row r="106" spans="1:19" hidden="1">
      <c r="A106" s="1058">
        <f t="shared" si="16"/>
        <v>9.3099999999999934</v>
      </c>
      <c r="B106" s="1023"/>
      <c r="C106" s="1039">
        <f t="shared" si="14"/>
        <v>0</v>
      </c>
      <c r="D106" s="1039">
        <f t="shared" si="12"/>
        <v>0</v>
      </c>
      <c r="E106" s="1039"/>
      <c r="F106" s="1039"/>
      <c r="G106" s="1039">
        <f t="shared" si="13"/>
        <v>0</v>
      </c>
      <c r="H106" s="1039"/>
      <c r="I106" s="1039">
        <f t="shared" si="15"/>
        <v>0</v>
      </c>
      <c r="J106" s="1039">
        <f t="shared" si="15"/>
        <v>0</v>
      </c>
      <c r="K106" s="1039">
        <f t="shared" si="15"/>
        <v>0</v>
      </c>
      <c r="L106" s="1039"/>
      <c r="M106" s="1023"/>
      <c r="N106" s="1023"/>
      <c r="O106" s="1023"/>
      <c r="P106" s="1039"/>
      <c r="Q106" s="1023"/>
      <c r="R106" s="1023"/>
      <c r="S106" s="1023"/>
    </row>
    <row r="107" spans="1:19" hidden="1">
      <c r="A107" s="1058">
        <f t="shared" si="16"/>
        <v>9.3199999999999932</v>
      </c>
      <c r="B107" s="1023"/>
      <c r="C107" s="1035">
        <f t="shared" si="14"/>
        <v>0</v>
      </c>
      <c r="D107" s="1035">
        <f t="shared" si="12"/>
        <v>0</v>
      </c>
      <c r="E107" s="1035"/>
      <c r="F107" s="1035"/>
      <c r="G107" s="1035">
        <f t="shared" si="13"/>
        <v>0</v>
      </c>
      <c r="H107" s="1035"/>
      <c r="I107" s="1035">
        <f t="shared" si="15"/>
        <v>0</v>
      </c>
      <c r="J107" s="1035">
        <f t="shared" si="15"/>
        <v>0</v>
      </c>
      <c r="K107" s="1035">
        <f t="shared" si="15"/>
        <v>0</v>
      </c>
      <c r="L107" s="1035"/>
      <c r="M107" s="1023"/>
      <c r="N107" s="1023"/>
      <c r="O107" s="1023"/>
      <c r="P107" s="1035"/>
      <c r="Q107" s="1023"/>
      <c r="R107" s="1023"/>
      <c r="S107" s="1023"/>
    </row>
    <row r="108" spans="1:19" hidden="1">
      <c r="A108" s="1058">
        <f t="shared" si="16"/>
        <v>9.329999999999993</v>
      </c>
      <c r="B108" s="1023"/>
      <c r="C108" s="1035">
        <f t="shared" si="14"/>
        <v>0</v>
      </c>
      <c r="D108" s="1035">
        <f t="shared" si="12"/>
        <v>0</v>
      </c>
      <c r="E108" s="1035"/>
      <c r="F108" s="1035"/>
      <c r="G108" s="1035">
        <f t="shared" si="13"/>
        <v>0</v>
      </c>
      <c r="H108" s="1035"/>
      <c r="I108" s="1035">
        <f t="shared" si="15"/>
        <v>0</v>
      </c>
      <c r="J108" s="1035">
        <f t="shared" si="15"/>
        <v>0</v>
      </c>
      <c r="K108" s="1035">
        <f t="shared" si="15"/>
        <v>0</v>
      </c>
      <c r="L108" s="1035"/>
      <c r="M108" s="1023"/>
      <c r="N108" s="1023"/>
      <c r="O108" s="1023"/>
      <c r="P108" s="1035"/>
      <c r="Q108" s="1023"/>
      <c r="R108" s="1023"/>
      <c r="S108" s="1023"/>
    </row>
    <row r="109" spans="1:19" hidden="1">
      <c r="A109" s="1058">
        <f t="shared" si="16"/>
        <v>9.3399999999999928</v>
      </c>
      <c r="B109" s="1023"/>
      <c r="C109" s="1035">
        <f t="shared" si="14"/>
        <v>0</v>
      </c>
      <c r="D109" s="1035">
        <f t="shared" si="12"/>
        <v>0</v>
      </c>
      <c r="E109" s="1035"/>
      <c r="F109" s="1035"/>
      <c r="G109" s="1035">
        <f t="shared" si="13"/>
        <v>0</v>
      </c>
      <c r="H109" s="1035"/>
      <c r="I109" s="1035">
        <f t="shared" si="15"/>
        <v>0</v>
      </c>
      <c r="J109" s="1035">
        <f t="shared" si="15"/>
        <v>0</v>
      </c>
      <c r="K109" s="1035">
        <f t="shared" si="15"/>
        <v>0</v>
      </c>
      <c r="L109" s="1035"/>
      <c r="M109" s="1023"/>
      <c r="N109" s="1023"/>
      <c r="O109" s="1023"/>
      <c r="P109" s="1035"/>
      <c r="Q109" s="1023"/>
      <c r="R109" s="1023"/>
      <c r="S109" s="1023"/>
    </row>
    <row r="110" spans="1:19" hidden="1">
      <c r="A110" s="1058">
        <f t="shared" si="16"/>
        <v>9.3499999999999925</v>
      </c>
      <c r="B110" s="1023"/>
      <c r="C110" s="1035">
        <f t="shared" si="14"/>
        <v>0</v>
      </c>
      <c r="D110" s="1035">
        <f t="shared" si="12"/>
        <v>0</v>
      </c>
      <c r="E110" s="1035"/>
      <c r="F110" s="1035"/>
      <c r="G110" s="1035">
        <f t="shared" si="13"/>
        <v>0</v>
      </c>
      <c r="H110" s="1035"/>
      <c r="I110" s="1035">
        <f t="shared" si="15"/>
        <v>0</v>
      </c>
      <c r="J110" s="1035">
        <f t="shared" si="15"/>
        <v>0</v>
      </c>
      <c r="K110" s="1035">
        <f t="shared" si="15"/>
        <v>0</v>
      </c>
      <c r="L110" s="1035"/>
      <c r="M110" s="1023"/>
      <c r="N110" s="1023"/>
      <c r="O110" s="1023"/>
      <c r="P110" s="1035"/>
      <c r="Q110" s="1023"/>
      <c r="R110" s="1023"/>
      <c r="S110" s="1023"/>
    </row>
    <row r="111" spans="1:19" hidden="1">
      <c r="A111" s="1058">
        <f t="shared" si="16"/>
        <v>9.3599999999999923</v>
      </c>
      <c r="B111" s="1023"/>
      <c r="C111" s="1035">
        <f t="shared" si="14"/>
        <v>0</v>
      </c>
      <c r="D111" s="1035">
        <f t="shared" si="12"/>
        <v>0</v>
      </c>
      <c r="E111" s="1035"/>
      <c r="F111" s="1035"/>
      <c r="G111" s="1035">
        <f t="shared" si="13"/>
        <v>0</v>
      </c>
      <c r="H111" s="1035"/>
      <c r="I111" s="1035">
        <f t="shared" si="15"/>
        <v>0</v>
      </c>
      <c r="J111" s="1035">
        <f t="shared" si="15"/>
        <v>0</v>
      </c>
      <c r="K111" s="1035">
        <f t="shared" si="15"/>
        <v>0</v>
      </c>
      <c r="L111" s="1035"/>
      <c r="M111" s="1023"/>
      <c r="N111" s="1023"/>
      <c r="O111" s="1023"/>
      <c r="P111" s="1035"/>
      <c r="Q111" s="1023"/>
      <c r="R111" s="1023"/>
      <c r="S111" s="1023"/>
    </row>
    <row r="112" spans="1:19" hidden="1">
      <c r="A112" s="1058">
        <f t="shared" si="16"/>
        <v>9.3699999999999921</v>
      </c>
      <c r="B112" s="1023"/>
      <c r="C112" s="1035">
        <f t="shared" si="14"/>
        <v>0</v>
      </c>
      <c r="D112" s="1035">
        <f t="shared" si="12"/>
        <v>0</v>
      </c>
      <c r="E112" s="1035"/>
      <c r="F112" s="1035"/>
      <c r="G112" s="1035">
        <f t="shared" si="13"/>
        <v>0</v>
      </c>
      <c r="H112" s="1035"/>
      <c r="I112" s="1035">
        <f t="shared" si="15"/>
        <v>0</v>
      </c>
      <c r="J112" s="1035">
        <f t="shared" si="15"/>
        <v>0</v>
      </c>
      <c r="K112" s="1035">
        <f t="shared" si="15"/>
        <v>0</v>
      </c>
      <c r="L112" s="1035"/>
      <c r="M112" s="1023"/>
      <c r="N112" s="1023"/>
      <c r="O112" s="1023"/>
      <c r="P112" s="1035"/>
      <c r="Q112" s="1023"/>
      <c r="R112" s="1023"/>
      <c r="S112" s="1023"/>
    </row>
    <row r="113" spans="1:19" hidden="1">
      <c r="A113" s="1058">
        <f t="shared" si="16"/>
        <v>9.3799999999999919</v>
      </c>
      <c r="B113" s="1023"/>
      <c r="C113" s="1035">
        <f t="shared" si="14"/>
        <v>0</v>
      </c>
      <c r="D113" s="1035">
        <f t="shared" si="12"/>
        <v>0</v>
      </c>
      <c r="E113" s="1035"/>
      <c r="F113" s="1035"/>
      <c r="G113" s="1035">
        <f t="shared" si="13"/>
        <v>0</v>
      </c>
      <c r="H113" s="1035"/>
      <c r="I113" s="1035">
        <f t="shared" si="15"/>
        <v>0</v>
      </c>
      <c r="J113" s="1035">
        <f t="shared" si="15"/>
        <v>0</v>
      </c>
      <c r="K113" s="1035">
        <f t="shared" si="15"/>
        <v>0</v>
      </c>
      <c r="L113" s="1035"/>
      <c r="M113" s="1023"/>
      <c r="N113" s="1023"/>
      <c r="O113" s="1023"/>
      <c r="P113" s="1035"/>
      <c r="Q113" s="1023"/>
      <c r="R113" s="1023"/>
      <c r="S113" s="1023"/>
    </row>
    <row r="114" spans="1:19" hidden="1">
      <c r="A114" s="1058">
        <f t="shared" si="16"/>
        <v>9.3899999999999917</v>
      </c>
      <c r="B114" s="1023"/>
      <c r="C114" s="1035">
        <f t="shared" si="14"/>
        <v>0</v>
      </c>
      <c r="D114" s="1035">
        <f t="shared" si="12"/>
        <v>0</v>
      </c>
      <c r="E114" s="1035"/>
      <c r="F114" s="1035"/>
      <c r="G114" s="1035">
        <f t="shared" si="13"/>
        <v>0</v>
      </c>
      <c r="H114" s="1035"/>
      <c r="I114" s="1035">
        <f t="shared" si="15"/>
        <v>0</v>
      </c>
      <c r="J114" s="1035">
        <f t="shared" si="15"/>
        <v>0</v>
      </c>
      <c r="K114" s="1035">
        <f t="shared" si="15"/>
        <v>0</v>
      </c>
      <c r="L114" s="1035"/>
      <c r="M114" s="1023"/>
      <c r="N114" s="1023"/>
      <c r="O114" s="1023"/>
      <c r="P114" s="1035"/>
      <c r="Q114" s="1023"/>
      <c r="R114" s="1023"/>
      <c r="S114" s="1023"/>
    </row>
    <row r="115" spans="1:19" hidden="1">
      <c r="A115" s="1058">
        <f t="shared" si="16"/>
        <v>9.3999999999999915</v>
      </c>
      <c r="B115" s="1023"/>
      <c r="C115" s="1035">
        <f t="shared" si="14"/>
        <v>0</v>
      </c>
      <c r="D115" s="1035">
        <f t="shared" si="12"/>
        <v>0</v>
      </c>
      <c r="E115" s="1035"/>
      <c r="F115" s="1035"/>
      <c r="G115" s="1035">
        <f t="shared" si="13"/>
        <v>0</v>
      </c>
      <c r="H115" s="1035"/>
      <c r="I115" s="1035">
        <f t="shared" si="15"/>
        <v>0</v>
      </c>
      <c r="J115" s="1035">
        <f t="shared" si="15"/>
        <v>0</v>
      </c>
      <c r="K115" s="1035">
        <f t="shared" si="15"/>
        <v>0</v>
      </c>
      <c r="L115" s="1035"/>
      <c r="M115" s="1023"/>
      <c r="N115" s="1023"/>
      <c r="O115" s="1023"/>
      <c r="P115" s="1035"/>
      <c r="Q115" s="1023"/>
      <c r="R115" s="1023"/>
      <c r="S115" s="1023"/>
    </row>
    <row r="116" spans="1:19" hidden="1">
      <c r="A116" s="1058">
        <f t="shared" si="16"/>
        <v>9.4099999999999913</v>
      </c>
      <c r="B116" s="1023"/>
      <c r="C116" s="1035">
        <f t="shared" si="14"/>
        <v>0</v>
      </c>
      <c r="D116" s="1035">
        <f t="shared" si="12"/>
        <v>0</v>
      </c>
      <c r="E116" s="1035"/>
      <c r="F116" s="1035"/>
      <c r="G116" s="1035">
        <f t="shared" si="13"/>
        <v>0</v>
      </c>
      <c r="H116" s="1035"/>
      <c r="I116" s="1035">
        <f t="shared" si="15"/>
        <v>0</v>
      </c>
      <c r="J116" s="1035">
        <f t="shared" si="15"/>
        <v>0</v>
      </c>
      <c r="K116" s="1035">
        <f t="shared" si="15"/>
        <v>0</v>
      </c>
      <c r="L116" s="1035"/>
      <c r="M116" s="1023"/>
      <c r="N116" s="1023"/>
      <c r="O116" s="1023"/>
      <c r="P116" s="1035"/>
      <c r="Q116" s="1023"/>
      <c r="R116" s="1023"/>
      <c r="S116" s="1023"/>
    </row>
    <row r="117" spans="1:19" hidden="1">
      <c r="A117" s="1058">
        <f t="shared" si="16"/>
        <v>9.419999999999991</v>
      </c>
      <c r="B117" s="1023"/>
      <c r="C117" s="1035">
        <f t="shared" si="14"/>
        <v>0</v>
      </c>
      <c r="D117" s="1035">
        <f t="shared" si="12"/>
        <v>0</v>
      </c>
      <c r="E117" s="1035"/>
      <c r="F117" s="1035"/>
      <c r="G117" s="1035">
        <f t="shared" si="13"/>
        <v>0</v>
      </c>
      <c r="H117" s="1035"/>
      <c r="I117" s="1035">
        <f t="shared" si="15"/>
        <v>0</v>
      </c>
      <c r="J117" s="1035">
        <f t="shared" si="15"/>
        <v>0</v>
      </c>
      <c r="K117" s="1035">
        <f t="shared" si="15"/>
        <v>0</v>
      </c>
      <c r="L117" s="1035"/>
      <c r="M117" s="1023"/>
      <c r="N117" s="1023"/>
      <c r="O117" s="1023"/>
      <c r="P117" s="1035"/>
      <c r="Q117" s="1023"/>
      <c r="R117" s="1023"/>
      <c r="S117" s="1023"/>
    </row>
    <row r="118" spans="1:19" hidden="1">
      <c r="A118" s="1058">
        <f t="shared" si="16"/>
        <v>9.4299999999999908</v>
      </c>
      <c r="B118" s="1023"/>
      <c r="C118" s="1035">
        <f t="shared" si="14"/>
        <v>0</v>
      </c>
      <c r="D118" s="1035">
        <f t="shared" si="12"/>
        <v>0</v>
      </c>
      <c r="E118" s="1035"/>
      <c r="F118" s="1035"/>
      <c r="G118" s="1035">
        <f t="shared" si="13"/>
        <v>0</v>
      </c>
      <c r="H118" s="1035"/>
      <c r="I118" s="1035">
        <f t="shared" si="15"/>
        <v>0</v>
      </c>
      <c r="J118" s="1035">
        <f t="shared" si="15"/>
        <v>0</v>
      </c>
      <c r="K118" s="1035">
        <f t="shared" si="15"/>
        <v>0</v>
      </c>
      <c r="L118" s="1035"/>
      <c r="M118" s="1023"/>
      <c r="N118" s="1023"/>
      <c r="O118" s="1023"/>
      <c r="P118" s="1035"/>
      <c r="Q118" s="1023"/>
      <c r="R118" s="1023"/>
      <c r="S118" s="1023"/>
    </row>
    <row r="119" spans="1:19" hidden="1">
      <c r="A119" s="1058">
        <f t="shared" si="16"/>
        <v>9.4399999999999906</v>
      </c>
      <c r="B119" s="1023"/>
      <c r="C119" s="1035">
        <f t="shared" si="14"/>
        <v>0</v>
      </c>
      <c r="D119" s="1035">
        <f t="shared" si="12"/>
        <v>0</v>
      </c>
      <c r="E119" s="1035"/>
      <c r="F119" s="1035"/>
      <c r="G119" s="1035">
        <f t="shared" si="13"/>
        <v>0</v>
      </c>
      <c r="H119" s="1035"/>
      <c r="I119" s="1035">
        <f t="shared" si="15"/>
        <v>0</v>
      </c>
      <c r="J119" s="1035">
        <f t="shared" si="15"/>
        <v>0</v>
      </c>
      <c r="K119" s="1035">
        <f t="shared" si="15"/>
        <v>0</v>
      </c>
      <c r="L119" s="1035"/>
      <c r="M119" s="1023"/>
      <c r="N119" s="1023"/>
      <c r="O119" s="1023"/>
      <c r="P119" s="1035"/>
      <c r="Q119" s="1023"/>
      <c r="R119" s="1023"/>
      <c r="S119" s="1023"/>
    </row>
    <row r="120" spans="1:19" hidden="1">
      <c r="A120" s="1058">
        <f t="shared" si="16"/>
        <v>9.4499999999999904</v>
      </c>
      <c r="B120" s="1023"/>
      <c r="C120" s="1035">
        <f t="shared" si="14"/>
        <v>0</v>
      </c>
      <c r="D120" s="1035">
        <f t="shared" si="12"/>
        <v>0</v>
      </c>
      <c r="E120" s="1035"/>
      <c r="F120" s="1035"/>
      <c r="G120" s="1035">
        <f t="shared" si="13"/>
        <v>0</v>
      </c>
      <c r="H120" s="1035"/>
      <c r="I120" s="1035">
        <f t="shared" si="15"/>
        <v>0</v>
      </c>
      <c r="J120" s="1035">
        <f t="shared" si="15"/>
        <v>0</v>
      </c>
      <c r="K120" s="1035">
        <f t="shared" si="15"/>
        <v>0</v>
      </c>
      <c r="L120" s="1035"/>
      <c r="M120" s="1023"/>
      <c r="N120" s="1023"/>
      <c r="O120" s="1023"/>
      <c r="P120" s="1035"/>
      <c r="Q120" s="1023"/>
      <c r="R120" s="1023"/>
      <c r="S120" s="1023"/>
    </row>
    <row r="121" spans="1:19" hidden="1">
      <c r="A121" s="1058">
        <f t="shared" si="16"/>
        <v>9.4599999999999902</v>
      </c>
      <c r="B121" s="1023"/>
      <c r="C121" s="1035">
        <f t="shared" si="14"/>
        <v>0</v>
      </c>
      <c r="D121" s="1035">
        <f t="shared" si="12"/>
        <v>0</v>
      </c>
      <c r="E121" s="1035"/>
      <c r="F121" s="1035"/>
      <c r="G121" s="1035">
        <f t="shared" si="13"/>
        <v>0</v>
      </c>
      <c r="H121" s="1035"/>
      <c r="I121" s="1035">
        <f t="shared" si="15"/>
        <v>0</v>
      </c>
      <c r="J121" s="1035">
        <f t="shared" si="15"/>
        <v>0</v>
      </c>
      <c r="K121" s="1035">
        <f t="shared" si="15"/>
        <v>0</v>
      </c>
      <c r="L121" s="1035"/>
      <c r="M121" s="1023"/>
      <c r="N121" s="1023"/>
      <c r="O121" s="1023"/>
      <c r="P121" s="1035"/>
      <c r="Q121" s="1023"/>
      <c r="R121" s="1023"/>
      <c r="S121" s="1023"/>
    </row>
    <row r="122" spans="1:19" hidden="1">
      <c r="A122" s="1058">
        <f t="shared" si="16"/>
        <v>9.46999999999999</v>
      </c>
      <c r="B122" s="1023"/>
      <c r="C122" s="1035">
        <f t="shared" si="14"/>
        <v>0</v>
      </c>
      <c r="D122" s="1035">
        <f t="shared" si="12"/>
        <v>0</v>
      </c>
      <c r="E122" s="1035"/>
      <c r="F122" s="1035"/>
      <c r="G122" s="1035">
        <f t="shared" si="13"/>
        <v>0</v>
      </c>
      <c r="H122" s="1035"/>
      <c r="I122" s="1035">
        <f t="shared" si="15"/>
        <v>0</v>
      </c>
      <c r="J122" s="1035">
        <f t="shared" si="15"/>
        <v>0</v>
      </c>
      <c r="K122" s="1035">
        <f t="shared" si="15"/>
        <v>0</v>
      </c>
      <c r="L122" s="1035"/>
      <c r="M122" s="1023"/>
      <c r="N122" s="1023"/>
      <c r="O122" s="1023"/>
      <c r="P122" s="1035"/>
      <c r="Q122" s="1023"/>
      <c r="R122" s="1023"/>
      <c r="S122" s="1023"/>
    </row>
    <row r="123" spans="1:19" hidden="1">
      <c r="A123" s="1058">
        <f t="shared" si="16"/>
        <v>9.4799999999999898</v>
      </c>
      <c r="B123" s="1023"/>
      <c r="C123" s="1035">
        <f t="shared" si="14"/>
        <v>0</v>
      </c>
      <c r="D123" s="1035">
        <f t="shared" si="12"/>
        <v>0</v>
      </c>
      <c r="E123" s="1035"/>
      <c r="F123" s="1035"/>
      <c r="G123" s="1035">
        <f t="shared" si="13"/>
        <v>0</v>
      </c>
      <c r="H123" s="1035"/>
      <c r="I123" s="1035">
        <f t="shared" si="15"/>
        <v>0</v>
      </c>
      <c r="J123" s="1035">
        <f t="shared" si="15"/>
        <v>0</v>
      </c>
      <c r="K123" s="1035">
        <f t="shared" si="15"/>
        <v>0</v>
      </c>
      <c r="L123" s="1035"/>
      <c r="M123" s="1023"/>
      <c r="N123" s="1023"/>
      <c r="O123" s="1023"/>
      <c r="P123" s="1035"/>
      <c r="Q123" s="1023"/>
      <c r="R123" s="1023"/>
      <c r="S123" s="1023"/>
    </row>
    <row r="124" spans="1:19" hidden="1">
      <c r="A124" s="1058">
        <f t="shared" si="16"/>
        <v>9.4899999999999896</v>
      </c>
      <c r="B124" s="1023"/>
      <c r="C124" s="1035">
        <f t="shared" si="14"/>
        <v>0</v>
      </c>
      <c r="D124" s="1035">
        <f t="shared" si="12"/>
        <v>0</v>
      </c>
      <c r="E124" s="1035"/>
      <c r="F124" s="1035"/>
      <c r="G124" s="1035">
        <f t="shared" si="13"/>
        <v>0</v>
      </c>
      <c r="H124" s="1035"/>
      <c r="I124" s="1035">
        <f t="shared" si="15"/>
        <v>0</v>
      </c>
      <c r="J124" s="1035">
        <f t="shared" si="15"/>
        <v>0</v>
      </c>
      <c r="K124" s="1035">
        <f t="shared" si="15"/>
        <v>0</v>
      </c>
      <c r="L124" s="1035"/>
      <c r="M124" s="1023"/>
      <c r="N124" s="1023"/>
      <c r="O124" s="1023"/>
      <c r="P124" s="1035"/>
      <c r="Q124" s="1023"/>
      <c r="R124" s="1023"/>
      <c r="S124" s="1023"/>
    </row>
    <row r="125" spans="1:19" hidden="1">
      <c r="A125" s="1058">
        <f t="shared" si="16"/>
        <v>9.4999999999999893</v>
      </c>
      <c r="B125" s="1023"/>
      <c r="C125" s="1035">
        <f t="shared" si="14"/>
        <v>0</v>
      </c>
      <c r="D125" s="1035">
        <f t="shared" si="12"/>
        <v>0</v>
      </c>
      <c r="E125" s="1035"/>
      <c r="F125" s="1035"/>
      <c r="G125" s="1035">
        <f t="shared" si="13"/>
        <v>0</v>
      </c>
      <c r="H125" s="1035"/>
      <c r="I125" s="1035">
        <f t="shared" si="15"/>
        <v>0</v>
      </c>
      <c r="J125" s="1035">
        <f t="shared" si="15"/>
        <v>0</v>
      </c>
      <c r="K125" s="1035">
        <f t="shared" si="15"/>
        <v>0</v>
      </c>
      <c r="L125" s="1035"/>
      <c r="M125" s="1023"/>
      <c r="N125" s="1023"/>
      <c r="O125" s="1023"/>
      <c r="P125" s="1035"/>
      <c r="Q125" s="1023"/>
      <c r="R125" s="1023"/>
      <c r="S125" s="1023"/>
    </row>
    <row r="126" spans="1:19" hidden="1">
      <c r="A126" s="1058">
        <f t="shared" si="16"/>
        <v>9.5099999999999891</v>
      </c>
      <c r="B126" s="1023"/>
      <c r="C126" s="1035">
        <f t="shared" si="14"/>
        <v>0</v>
      </c>
      <c r="D126" s="1035">
        <f t="shared" si="12"/>
        <v>0</v>
      </c>
      <c r="E126" s="1035"/>
      <c r="F126" s="1035"/>
      <c r="G126" s="1035">
        <f t="shared" si="13"/>
        <v>0</v>
      </c>
      <c r="H126" s="1035"/>
      <c r="I126" s="1035">
        <f t="shared" si="15"/>
        <v>0</v>
      </c>
      <c r="J126" s="1035">
        <f t="shared" si="15"/>
        <v>0</v>
      </c>
      <c r="K126" s="1035">
        <f t="shared" si="15"/>
        <v>0</v>
      </c>
      <c r="L126" s="1035"/>
      <c r="M126" s="1023"/>
      <c r="N126" s="1023"/>
      <c r="O126" s="1023"/>
      <c r="P126" s="1035"/>
      <c r="Q126" s="1023"/>
      <c r="R126" s="1023"/>
      <c r="S126" s="1023"/>
    </row>
    <row r="127" spans="1:19" hidden="1">
      <c r="A127" s="1058">
        <f t="shared" si="16"/>
        <v>9.5199999999999889</v>
      </c>
      <c r="B127" s="1023"/>
      <c r="C127" s="1035">
        <f t="shared" si="14"/>
        <v>0</v>
      </c>
      <c r="D127" s="1035">
        <f t="shared" si="12"/>
        <v>0</v>
      </c>
      <c r="E127" s="1035"/>
      <c r="F127" s="1035"/>
      <c r="G127" s="1035">
        <f t="shared" si="13"/>
        <v>0</v>
      </c>
      <c r="H127" s="1035"/>
      <c r="I127" s="1035">
        <f t="shared" si="15"/>
        <v>0</v>
      </c>
      <c r="J127" s="1035">
        <f t="shared" si="15"/>
        <v>0</v>
      </c>
      <c r="K127" s="1035">
        <f t="shared" si="15"/>
        <v>0</v>
      </c>
      <c r="L127" s="1035"/>
      <c r="M127" s="1023"/>
      <c r="N127" s="1023"/>
      <c r="O127" s="1023"/>
      <c r="P127" s="1035"/>
      <c r="Q127" s="1023"/>
      <c r="R127" s="1023"/>
      <c r="S127" s="1023"/>
    </row>
    <row r="128" spans="1:19" hidden="1">
      <c r="A128" s="1058">
        <f t="shared" si="16"/>
        <v>9.5299999999999887</v>
      </c>
      <c r="B128" s="1023"/>
      <c r="C128" s="1035">
        <f t="shared" si="14"/>
        <v>0</v>
      </c>
      <c r="D128" s="1035">
        <f t="shared" si="12"/>
        <v>0</v>
      </c>
      <c r="E128" s="1035"/>
      <c r="F128" s="1035"/>
      <c r="G128" s="1035">
        <f t="shared" si="13"/>
        <v>0</v>
      </c>
      <c r="H128" s="1035"/>
      <c r="I128" s="1035">
        <f t="shared" si="15"/>
        <v>0</v>
      </c>
      <c r="J128" s="1035">
        <f t="shared" si="15"/>
        <v>0</v>
      </c>
      <c r="K128" s="1035">
        <f t="shared" si="15"/>
        <v>0</v>
      </c>
      <c r="L128" s="1035"/>
      <c r="M128" s="1023"/>
      <c r="N128" s="1023"/>
      <c r="O128" s="1023"/>
      <c r="P128" s="1035"/>
      <c r="Q128" s="1023"/>
      <c r="R128" s="1023"/>
      <c r="S128" s="1023"/>
    </row>
    <row r="129" spans="1:19" hidden="1">
      <c r="A129" s="1058">
        <f t="shared" si="16"/>
        <v>9.5399999999999885</v>
      </c>
      <c r="B129" s="1023"/>
      <c r="C129" s="1035">
        <f t="shared" si="14"/>
        <v>0</v>
      </c>
      <c r="D129" s="1035">
        <f t="shared" si="12"/>
        <v>0</v>
      </c>
      <c r="E129" s="1035"/>
      <c r="F129" s="1035"/>
      <c r="G129" s="1035">
        <f t="shared" si="13"/>
        <v>0</v>
      </c>
      <c r="H129" s="1035"/>
      <c r="I129" s="1035">
        <f t="shared" si="15"/>
        <v>0</v>
      </c>
      <c r="J129" s="1035">
        <f t="shared" si="15"/>
        <v>0</v>
      </c>
      <c r="K129" s="1035">
        <f t="shared" si="15"/>
        <v>0</v>
      </c>
      <c r="L129" s="1035"/>
      <c r="M129" s="1023"/>
      <c r="N129" s="1023"/>
      <c r="O129" s="1023"/>
      <c r="P129" s="1035"/>
      <c r="Q129" s="1023"/>
      <c r="R129" s="1023"/>
      <c r="S129" s="1023"/>
    </row>
    <row r="130" spans="1:19" hidden="1">
      <c r="A130" s="1058">
        <f t="shared" si="16"/>
        <v>9.5499999999999883</v>
      </c>
      <c r="B130" s="1023"/>
      <c r="C130" s="1035">
        <f t="shared" si="14"/>
        <v>0</v>
      </c>
      <c r="D130" s="1035">
        <f t="shared" si="12"/>
        <v>0</v>
      </c>
      <c r="E130" s="1035"/>
      <c r="F130" s="1035"/>
      <c r="G130" s="1035">
        <f t="shared" si="13"/>
        <v>0</v>
      </c>
      <c r="H130" s="1035"/>
      <c r="I130" s="1035">
        <f t="shared" si="15"/>
        <v>0</v>
      </c>
      <c r="J130" s="1035">
        <f t="shared" si="15"/>
        <v>0</v>
      </c>
      <c r="K130" s="1035">
        <f t="shared" si="15"/>
        <v>0</v>
      </c>
      <c r="L130" s="1035"/>
      <c r="M130" s="1023"/>
      <c r="N130" s="1023"/>
      <c r="O130" s="1023"/>
      <c r="P130" s="1035"/>
      <c r="Q130" s="1023"/>
      <c r="R130" s="1023"/>
      <c r="S130" s="1023"/>
    </row>
    <row r="131" spans="1:19" hidden="1">
      <c r="A131" s="1058">
        <f t="shared" si="16"/>
        <v>9.5599999999999881</v>
      </c>
      <c r="B131" s="1023"/>
      <c r="C131" s="1035">
        <f t="shared" si="14"/>
        <v>0</v>
      </c>
      <c r="D131" s="1035">
        <f t="shared" si="12"/>
        <v>0</v>
      </c>
      <c r="E131" s="1035"/>
      <c r="F131" s="1035"/>
      <c r="G131" s="1035">
        <f>ROUND(SUM(C131:F131)/2,0)</f>
        <v>0</v>
      </c>
      <c r="H131" s="1035"/>
      <c r="I131" s="1035">
        <f t="shared" si="15"/>
        <v>0</v>
      </c>
      <c r="J131" s="1035">
        <f t="shared" si="15"/>
        <v>0</v>
      </c>
      <c r="K131" s="1035">
        <f t="shared" si="15"/>
        <v>0</v>
      </c>
      <c r="L131" s="1035"/>
      <c r="M131" s="1023"/>
      <c r="N131" s="1023"/>
      <c r="O131" s="1023"/>
      <c r="P131" s="1035"/>
      <c r="Q131" s="1023"/>
      <c r="R131" s="1023"/>
      <c r="S131" s="1023"/>
    </row>
    <row r="132" spans="1:19" hidden="1">
      <c r="A132" s="1058">
        <f t="shared" si="16"/>
        <v>9.5699999999999878</v>
      </c>
      <c r="B132" s="1023"/>
      <c r="C132" s="1035">
        <f t="shared" si="14"/>
        <v>0</v>
      </c>
      <c r="D132" s="1035">
        <f t="shared" si="12"/>
        <v>0</v>
      </c>
      <c r="E132" s="1035"/>
      <c r="F132" s="1035"/>
      <c r="G132" s="1035">
        <f>ROUND(SUM(C132:F132)/2,0)</f>
        <v>0</v>
      </c>
      <c r="H132" s="1035"/>
      <c r="I132" s="1035">
        <f t="shared" si="15"/>
        <v>0</v>
      </c>
      <c r="J132" s="1035">
        <f t="shared" si="15"/>
        <v>0</v>
      </c>
      <c r="K132" s="1035">
        <f t="shared" si="15"/>
        <v>0</v>
      </c>
      <c r="L132" s="1035"/>
      <c r="M132" s="1023"/>
      <c r="N132" s="1023"/>
      <c r="O132" s="1023"/>
      <c r="P132" s="1035"/>
      <c r="Q132" s="1023"/>
      <c r="R132" s="1023"/>
      <c r="S132" s="1023"/>
    </row>
    <row r="133" spans="1:19" hidden="1">
      <c r="A133" s="1058">
        <f t="shared" si="16"/>
        <v>9.5799999999999876</v>
      </c>
      <c r="B133" s="1023"/>
      <c r="C133" s="1035">
        <f t="shared" si="14"/>
        <v>0</v>
      </c>
      <c r="D133" s="1035">
        <f t="shared" si="12"/>
        <v>0</v>
      </c>
      <c r="E133" s="1035"/>
      <c r="F133" s="1035"/>
      <c r="G133" s="1035">
        <f>ROUND(SUM(C133:F133)/2,0)</f>
        <v>0</v>
      </c>
      <c r="H133" s="1035"/>
      <c r="I133" s="1035">
        <f t="shared" si="15"/>
        <v>0</v>
      </c>
      <c r="J133" s="1035">
        <f t="shared" si="15"/>
        <v>0</v>
      </c>
      <c r="K133" s="1035">
        <f t="shared" si="15"/>
        <v>0</v>
      </c>
      <c r="L133" s="1035"/>
      <c r="M133" s="1023"/>
      <c r="N133" s="1023"/>
      <c r="O133" s="1023"/>
      <c r="P133" s="1035"/>
      <c r="Q133" s="1023"/>
      <c r="R133" s="1023"/>
      <c r="S133" s="1023"/>
    </row>
    <row r="134" spans="1:19" hidden="1">
      <c r="A134" s="1058">
        <f t="shared" si="16"/>
        <v>9.5899999999999874</v>
      </c>
      <c r="B134" s="1023"/>
      <c r="C134" s="1035">
        <f t="shared" si="14"/>
        <v>0</v>
      </c>
      <c r="D134" s="1035">
        <f t="shared" si="12"/>
        <v>0</v>
      </c>
      <c r="E134" s="1035"/>
      <c r="F134" s="1035"/>
      <c r="G134" s="1035">
        <f t="shared" ref="G134:G174" si="17">ROUND(SUM(C134:F134)/2,0)</f>
        <v>0</v>
      </c>
      <c r="H134" s="1035"/>
      <c r="I134" s="1035">
        <f t="shared" si="15"/>
        <v>0</v>
      </c>
      <c r="J134" s="1035">
        <f t="shared" si="15"/>
        <v>0</v>
      </c>
      <c r="K134" s="1035">
        <f t="shared" si="15"/>
        <v>0</v>
      </c>
      <c r="L134" s="1035"/>
      <c r="M134" s="1023"/>
      <c r="N134" s="1023"/>
      <c r="O134" s="1023"/>
      <c r="P134" s="1035"/>
      <c r="Q134" s="1023"/>
      <c r="R134" s="1023"/>
      <c r="S134" s="1023"/>
    </row>
    <row r="135" spans="1:19" hidden="1">
      <c r="A135" s="1058">
        <f t="shared" si="16"/>
        <v>9.5999999999999872</v>
      </c>
      <c r="B135" s="1023"/>
      <c r="C135" s="1035">
        <f t="shared" si="14"/>
        <v>0</v>
      </c>
      <c r="D135" s="1035">
        <f t="shared" si="12"/>
        <v>0</v>
      </c>
      <c r="E135" s="1035"/>
      <c r="F135" s="1035"/>
      <c r="G135" s="1035">
        <f t="shared" si="17"/>
        <v>0</v>
      </c>
      <c r="H135" s="1035"/>
      <c r="I135" s="1035">
        <f t="shared" si="15"/>
        <v>0</v>
      </c>
      <c r="J135" s="1035">
        <f t="shared" si="15"/>
        <v>0</v>
      </c>
      <c r="K135" s="1035">
        <f t="shared" si="15"/>
        <v>0</v>
      </c>
      <c r="L135" s="1035"/>
      <c r="M135" s="1023"/>
      <c r="N135" s="1023"/>
      <c r="O135" s="1023"/>
      <c r="P135" s="1035"/>
      <c r="Q135" s="1023"/>
      <c r="R135" s="1023"/>
      <c r="S135" s="1023"/>
    </row>
    <row r="136" spans="1:19" hidden="1">
      <c r="A136" s="1058">
        <f t="shared" si="16"/>
        <v>9.609999999999987</v>
      </c>
      <c r="B136" s="1023"/>
      <c r="C136" s="1035">
        <f t="shared" si="14"/>
        <v>0</v>
      </c>
      <c r="D136" s="1035">
        <f t="shared" si="12"/>
        <v>0</v>
      </c>
      <c r="E136" s="1035"/>
      <c r="F136" s="1035"/>
      <c r="G136" s="1035">
        <f t="shared" si="17"/>
        <v>0</v>
      </c>
      <c r="H136" s="1035"/>
      <c r="I136" s="1035">
        <f t="shared" si="15"/>
        <v>0</v>
      </c>
      <c r="J136" s="1035">
        <f t="shared" si="15"/>
        <v>0</v>
      </c>
      <c r="K136" s="1035">
        <f t="shared" si="15"/>
        <v>0</v>
      </c>
      <c r="L136" s="1035"/>
      <c r="M136" s="1023"/>
      <c r="N136" s="1023"/>
      <c r="O136" s="1023"/>
      <c r="P136" s="1035"/>
      <c r="Q136" s="1023"/>
      <c r="R136" s="1023"/>
      <c r="S136" s="1023"/>
    </row>
    <row r="137" spans="1:19" hidden="1">
      <c r="A137" s="1058">
        <f t="shared" si="16"/>
        <v>9.6199999999999868</v>
      </c>
      <c r="B137" s="1023"/>
      <c r="C137" s="1035">
        <f t="shared" si="14"/>
        <v>0</v>
      </c>
      <c r="D137" s="1035">
        <f t="shared" si="12"/>
        <v>0</v>
      </c>
      <c r="E137" s="1035"/>
      <c r="F137" s="1035"/>
      <c r="G137" s="1035">
        <f t="shared" si="17"/>
        <v>0</v>
      </c>
      <c r="H137" s="1035"/>
      <c r="I137" s="1035">
        <f t="shared" ref="I137:K157" si="18">(M137+Q137)/2</f>
        <v>0</v>
      </c>
      <c r="J137" s="1035">
        <f t="shared" si="18"/>
        <v>0</v>
      </c>
      <c r="K137" s="1035">
        <f t="shared" si="18"/>
        <v>0</v>
      </c>
      <c r="L137" s="1035"/>
      <c r="M137" s="1023"/>
      <c r="N137" s="1023"/>
      <c r="O137" s="1023"/>
      <c r="P137" s="1035"/>
      <c r="Q137" s="1023"/>
      <c r="R137" s="1023"/>
      <c r="S137" s="1023"/>
    </row>
    <row r="138" spans="1:19" hidden="1">
      <c r="A138" s="1058">
        <f t="shared" si="16"/>
        <v>9.6299999999999866</v>
      </c>
      <c r="B138" s="1023"/>
      <c r="C138" s="1035">
        <f t="shared" si="14"/>
        <v>0</v>
      </c>
      <c r="D138" s="1035">
        <f t="shared" si="12"/>
        <v>0</v>
      </c>
      <c r="E138" s="1035"/>
      <c r="F138" s="1035"/>
      <c r="G138" s="1035">
        <f t="shared" si="17"/>
        <v>0</v>
      </c>
      <c r="H138" s="1035"/>
      <c r="I138" s="1035">
        <f t="shared" si="18"/>
        <v>0</v>
      </c>
      <c r="J138" s="1035">
        <f t="shared" si="18"/>
        <v>0</v>
      </c>
      <c r="K138" s="1035">
        <f t="shared" si="18"/>
        <v>0</v>
      </c>
      <c r="L138" s="1035"/>
      <c r="M138" s="1023"/>
      <c r="N138" s="1023"/>
      <c r="O138" s="1023"/>
      <c r="P138" s="1035"/>
      <c r="Q138" s="1023"/>
      <c r="R138" s="1023"/>
      <c r="S138" s="1023"/>
    </row>
    <row r="139" spans="1:19" hidden="1">
      <c r="A139" s="1058">
        <f t="shared" si="16"/>
        <v>9.6399999999999864</v>
      </c>
      <c r="B139" s="1023"/>
      <c r="C139" s="1039">
        <f t="shared" si="14"/>
        <v>0</v>
      </c>
      <c r="D139" s="1039">
        <f t="shared" si="12"/>
        <v>0</v>
      </c>
      <c r="E139" s="1039"/>
      <c r="F139" s="1039"/>
      <c r="G139" s="1039">
        <f t="shared" si="17"/>
        <v>0</v>
      </c>
      <c r="H139" s="1039"/>
      <c r="I139" s="1039">
        <f t="shared" si="18"/>
        <v>0</v>
      </c>
      <c r="J139" s="1039">
        <f t="shared" si="18"/>
        <v>0</v>
      </c>
      <c r="K139" s="1039">
        <f t="shared" si="18"/>
        <v>0</v>
      </c>
      <c r="L139" s="1039"/>
      <c r="M139" s="1023"/>
      <c r="N139" s="1023"/>
      <c r="O139" s="1023"/>
      <c r="P139" s="1039"/>
      <c r="Q139" s="1023"/>
      <c r="R139" s="1023"/>
      <c r="S139" s="1023"/>
    </row>
    <row r="140" spans="1:19" hidden="1">
      <c r="A140" s="1058">
        <f>A139+0.01</f>
        <v>9.6499999999999861</v>
      </c>
      <c r="B140" s="1023"/>
      <c r="C140" s="1035">
        <f t="shared" si="14"/>
        <v>0</v>
      </c>
      <c r="D140" s="1035">
        <f t="shared" ref="D140:D168" si="19">SUM(Q140:S140)</f>
        <v>0</v>
      </c>
      <c r="E140" s="1035"/>
      <c r="F140" s="1035"/>
      <c r="G140" s="1035">
        <f t="shared" si="17"/>
        <v>0</v>
      </c>
      <c r="H140" s="1035"/>
      <c r="I140" s="1035">
        <f t="shared" si="18"/>
        <v>0</v>
      </c>
      <c r="J140" s="1035">
        <f t="shared" si="18"/>
        <v>0</v>
      </c>
      <c r="K140" s="1035">
        <f t="shared" si="18"/>
        <v>0</v>
      </c>
      <c r="L140" s="1035"/>
      <c r="M140" s="1023"/>
      <c r="N140" s="1023"/>
      <c r="O140" s="1023"/>
      <c r="P140" s="1035"/>
      <c r="Q140" s="1023"/>
      <c r="R140" s="1023"/>
      <c r="S140" s="1023"/>
    </row>
    <row r="141" spans="1:19" hidden="1">
      <c r="A141" s="1058">
        <f t="shared" si="16"/>
        <v>9.6599999999999859</v>
      </c>
      <c r="B141" s="1023"/>
      <c r="C141" s="1035">
        <f t="shared" ref="C141:C168" si="20">SUM(M141:O141)</f>
        <v>0</v>
      </c>
      <c r="D141" s="1035">
        <f t="shared" si="19"/>
        <v>0</v>
      </c>
      <c r="E141" s="1035"/>
      <c r="F141" s="1035"/>
      <c r="G141" s="1035">
        <f t="shared" si="17"/>
        <v>0</v>
      </c>
      <c r="H141" s="1035"/>
      <c r="I141" s="1035">
        <f t="shared" si="18"/>
        <v>0</v>
      </c>
      <c r="J141" s="1035">
        <f t="shared" si="18"/>
        <v>0</v>
      </c>
      <c r="K141" s="1035">
        <f t="shared" si="18"/>
        <v>0</v>
      </c>
      <c r="L141" s="1035"/>
      <c r="M141" s="1023"/>
      <c r="N141" s="1023"/>
      <c r="O141" s="1023"/>
      <c r="P141" s="1035"/>
      <c r="Q141" s="1023"/>
      <c r="R141" s="1023"/>
      <c r="S141" s="1023"/>
    </row>
    <row r="142" spans="1:19" hidden="1">
      <c r="A142" s="1058">
        <f t="shared" ref="A142:A174" si="21">A141+0.01</f>
        <v>9.6699999999999857</v>
      </c>
      <c r="B142" s="1023"/>
      <c r="C142" s="1035">
        <f t="shared" si="20"/>
        <v>0</v>
      </c>
      <c r="D142" s="1035">
        <f t="shared" si="19"/>
        <v>0</v>
      </c>
      <c r="E142" s="1035"/>
      <c r="F142" s="1035"/>
      <c r="G142" s="1035">
        <f t="shared" si="17"/>
        <v>0</v>
      </c>
      <c r="H142" s="1035"/>
      <c r="I142" s="1035">
        <f t="shared" si="18"/>
        <v>0</v>
      </c>
      <c r="J142" s="1035">
        <f t="shared" si="18"/>
        <v>0</v>
      </c>
      <c r="K142" s="1035">
        <f t="shared" si="18"/>
        <v>0</v>
      </c>
      <c r="L142" s="1035"/>
      <c r="M142" s="1023"/>
      <c r="N142" s="1023"/>
      <c r="O142" s="1023"/>
      <c r="P142" s="1035"/>
      <c r="Q142" s="1023"/>
      <c r="R142" s="1023"/>
      <c r="S142" s="1023"/>
    </row>
    <row r="143" spans="1:19" hidden="1">
      <c r="A143" s="1058">
        <f t="shared" si="21"/>
        <v>9.6799999999999855</v>
      </c>
      <c r="B143" s="1023"/>
      <c r="C143" s="1035">
        <f t="shared" si="20"/>
        <v>0</v>
      </c>
      <c r="D143" s="1035">
        <f t="shared" si="19"/>
        <v>0</v>
      </c>
      <c r="E143" s="1035"/>
      <c r="F143" s="1035"/>
      <c r="G143" s="1035">
        <f t="shared" si="17"/>
        <v>0</v>
      </c>
      <c r="H143" s="1035"/>
      <c r="I143" s="1035">
        <f t="shared" si="18"/>
        <v>0</v>
      </c>
      <c r="J143" s="1035">
        <f t="shared" si="18"/>
        <v>0</v>
      </c>
      <c r="K143" s="1035">
        <f t="shared" si="18"/>
        <v>0</v>
      </c>
      <c r="L143" s="1035"/>
      <c r="M143" s="1023"/>
      <c r="N143" s="1023"/>
      <c r="O143" s="1023"/>
      <c r="P143" s="1035"/>
      <c r="Q143" s="1023"/>
      <c r="R143" s="1023"/>
      <c r="S143" s="1023"/>
    </row>
    <row r="144" spans="1:19" hidden="1">
      <c r="A144" s="1058">
        <f t="shared" si="21"/>
        <v>9.6899999999999853</v>
      </c>
      <c r="B144" s="1023"/>
      <c r="C144" s="1035">
        <f t="shared" si="20"/>
        <v>0</v>
      </c>
      <c r="D144" s="1035">
        <f t="shared" si="19"/>
        <v>0</v>
      </c>
      <c r="E144" s="1035"/>
      <c r="F144" s="1035"/>
      <c r="G144" s="1035">
        <f t="shared" si="17"/>
        <v>0</v>
      </c>
      <c r="H144" s="1035"/>
      <c r="I144" s="1035">
        <f t="shared" si="18"/>
        <v>0</v>
      </c>
      <c r="J144" s="1035">
        <f t="shared" si="18"/>
        <v>0</v>
      </c>
      <c r="K144" s="1035">
        <f t="shared" si="18"/>
        <v>0</v>
      </c>
      <c r="L144" s="1035"/>
      <c r="M144" s="1023"/>
      <c r="N144" s="1023"/>
      <c r="O144" s="1023"/>
      <c r="P144" s="1035"/>
      <c r="Q144" s="1023"/>
      <c r="R144" s="1023"/>
      <c r="S144" s="1023"/>
    </row>
    <row r="145" spans="1:19" hidden="1">
      <c r="A145" s="1058">
        <f t="shared" si="21"/>
        <v>9.6999999999999851</v>
      </c>
      <c r="B145" s="1023"/>
      <c r="C145" s="1035">
        <f>SUM(M145:O145)</f>
        <v>0</v>
      </c>
      <c r="D145" s="1035">
        <f t="shared" si="19"/>
        <v>0</v>
      </c>
      <c r="E145" s="1035"/>
      <c r="F145" s="1035"/>
      <c r="G145" s="1035">
        <f t="shared" si="17"/>
        <v>0</v>
      </c>
      <c r="H145" s="1035"/>
      <c r="I145" s="1035">
        <f t="shared" si="18"/>
        <v>0</v>
      </c>
      <c r="J145" s="1035">
        <f t="shared" si="18"/>
        <v>0</v>
      </c>
      <c r="K145" s="1035">
        <f t="shared" si="18"/>
        <v>0</v>
      </c>
      <c r="L145" s="1035"/>
      <c r="M145" s="1023"/>
      <c r="N145" s="1023"/>
      <c r="O145" s="1023"/>
      <c r="P145" s="1035"/>
      <c r="Q145" s="1023"/>
      <c r="R145" s="1023"/>
      <c r="S145" s="1023"/>
    </row>
    <row r="146" spans="1:19" hidden="1">
      <c r="A146" s="1058">
        <f t="shared" si="21"/>
        <v>9.7099999999999849</v>
      </c>
      <c r="B146" s="1023"/>
      <c r="C146" s="1035">
        <f t="shared" si="20"/>
        <v>0</v>
      </c>
      <c r="D146" s="1035">
        <f t="shared" si="19"/>
        <v>0</v>
      </c>
      <c r="E146" s="1035"/>
      <c r="F146" s="1035"/>
      <c r="G146" s="1035">
        <f t="shared" si="17"/>
        <v>0</v>
      </c>
      <c r="H146" s="1035"/>
      <c r="I146" s="1035">
        <f t="shared" si="18"/>
        <v>0</v>
      </c>
      <c r="J146" s="1035">
        <f t="shared" si="18"/>
        <v>0</v>
      </c>
      <c r="K146" s="1035">
        <f t="shared" si="18"/>
        <v>0</v>
      </c>
      <c r="L146" s="1035"/>
      <c r="M146" s="1023"/>
      <c r="N146" s="1023"/>
      <c r="O146" s="1023"/>
      <c r="P146" s="1035"/>
      <c r="Q146" s="1023"/>
      <c r="R146" s="1023"/>
      <c r="S146" s="1023"/>
    </row>
    <row r="147" spans="1:19" hidden="1">
      <c r="A147" s="1058">
        <f t="shared" si="21"/>
        <v>9.7199999999999847</v>
      </c>
      <c r="B147" s="1023"/>
      <c r="C147" s="1035">
        <f>SUM(M147:O147)</f>
        <v>0</v>
      </c>
      <c r="D147" s="1035">
        <f t="shared" si="19"/>
        <v>0</v>
      </c>
      <c r="E147" s="1035"/>
      <c r="F147" s="1035"/>
      <c r="G147" s="1035">
        <f t="shared" si="17"/>
        <v>0</v>
      </c>
      <c r="H147" s="1035"/>
      <c r="I147" s="1035">
        <f t="shared" si="18"/>
        <v>0</v>
      </c>
      <c r="J147" s="1035">
        <f t="shared" si="18"/>
        <v>0</v>
      </c>
      <c r="K147" s="1035">
        <f t="shared" si="18"/>
        <v>0</v>
      </c>
      <c r="L147" s="1035"/>
      <c r="M147" s="1023"/>
      <c r="N147" s="1023"/>
      <c r="O147" s="1023"/>
      <c r="P147" s="1035"/>
      <c r="Q147" s="1023"/>
      <c r="R147" s="1023"/>
      <c r="S147" s="1023"/>
    </row>
    <row r="148" spans="1:19" hidden="1">
      <c r="A148" s="1058">
        <f t="shared" si="21"/>
        <v>9.7299999999999844</v>
      </c>
      <c r="B148" s="1023"/>
      <c r="C148" s="1035">
        <f>SUM(M148:O148)</f>
        <v>0</v>
      </c>
      <c r="D148" s="1035">
        <f t="shared" si="19"/>
        <v>0</v>
      </c>
      <c r="E148" s="1035"/>
      <c r="F148" s="1035"/>
      <c r="G148" s="1035">
        <f t="shared" si="17"/>
        <v>0</v>
      </c>
      <c r="H148" s="1035"/>
      <c r="I148" s="1035">
        <f t="shared" si="18"/>
        <v>0</v>
      </c>
      <c r="J148" s="1035">
        <f t="shared" si="18"/>
        <v>0</v>
      </c>
      <c r="K148" s="1035">
        <f t="shared" si="18"/>
        <v>0</v>
      </c>
      <c r="L148" s="1035"/>
      <c r="M148" s="1023"/>
      <c r="N148" s="1023"/>
      <c r="O148" s="1023"/>
      <c r="P148" s="1035"/>
      <c r="Q148" s="1023"/>
      <c r="R148" s="1023"/>
      <c r="S148" s="1023"/>
    </row>
    <row r="149" spans="1:19" hidden="1">
      <c r="A149" s="1058">
        <f t="shared" si="21"/>
        <v>9.7399999999999842</v>
      </c>
      <c r="B149" s="1023"/>
      <c r="C149" s="1035">
        <f>SUM(M149:O149)</f>
        <v>0</v>
      </c>
      <c r="D149" s="1035">
        <f t="shared" si="19"/>
        <v>0</v>
      </c>
      <c r="E149" s="1035"/>
      <c r="F149" s="1035"/>
      <c r="G149" s="1035">
        <f t="shared" si="17"/>
        <v>0</v>
      </c>
      <c r="H149" s="1035"/>
      <c r="I149" s="1035">
        <f t="shared" si="18"/>
        <v>0</v>
      </c>
      <c r="J149" s="1035">
        <f t="shared" si="18"/>
        <v>0</v>
      </c>
      <c r="K149" s="1035">
        <f t="shared" si="18"/>
        <v>0</v>
      </c>
      <c r="L149" s="1035"/>
      <c r="M149" s="1023"/>
      <c r="N149" s="1023"/>
      <c r="O149" s="1023"/>
      <c r="P149" s="1035"/>
      <c r="Q149" s="1023"/>
      <c r="R149" s="1023"/>
      <c r="S149" s="1023"/>
    </row>
    <row r="150" spans="1:19" hidden="1">
      <c r="A150" s="1058">
        <f t="shared" si="21"/>
        <v>9.749999999999984</v>
      </c>
      <c r="B150" s="1023"/>
      <c r="C150" s="1035">
        <f>SUM(M150:O150)</f>
        <v>0</v>
      </c>
      <c r="D150" s="1035">
        <f t="shared" si="19"/>
        <v>0</v>
      </c>
      <c r="E150" s="1035"/>
      <c r="F150" s="1035"/>
      <c r="G150" s="1035">
        <f t="shared" si="17"/>
        <v>0</v>
      </c>
      <c r="H150" s="1035"/>
      <c r="I150" s="1035">
        <f t="shared" si="18"/>
        <v>0</v>
      </c>
      <c r="J150" s="1035">
        <f t="shared" si="18"/>
        <v>0</v>
      </c>
      <c r="K150" s="1035">
        <f t="shared" si="18"/>
        <v>0</v>
      </c>
      <c r="L150" s="1035"/>
      <c r="M150" s="1023"/>
      <c r="N150" s="1023"/>
      <c r="O150" s="1023"/>
      <c r="P150" s="1035"/>
      <c r="Q150" s="1023"/>
      <c r="R150" s="1023"/>
      <c r="S150" s="1023"/>
    </row>
    <row r="151" spans="1:19" hidden="1">
      <c r="A151" s="1058">
        <f t="shared" si="21"/>
        <v>9.7599999999999838</v>
      </c>
      <c r="B151" s="1023"/>
      <c r="C151" s="1035">
        <f t="shared" si="20"/>
        <v>0</v>
      </c>
      <c r="D151" s="1035">
        <f t="shared" si="19"/>
        <v>0</v>
      </c>
      <c r="E151" s="1035"/>
      <c r="F151" s="1035"/>
      <c r="G151" s="1035">
        <f t="shared" si="17"/>
        <v>0</v>
      </c>
      <c r="H151" s="1035"/>
      <c r="I151" s="1035">
        <f t="shared" si="18"/>
        <v>0</v>
      </c>
      <c r="J151" s="1035">
        <f t="shared" si="18"/>
        <v>0</v>
      </c>
      <c r="K151" s="1035">
        <f t="shared" si="18"/>
        <v>0</v>
      </c>
      <c r="L151" s="1035"/>
      <c r="M151" s="1023"/>
      <c r="N151" s="1023"/>
      <c r="O151" s="1023"/>
      <c r="P151" s="1035"/>
      <c r="Q151" s="1023"/>
      <c r="R151" s="1023"/>
      <c r="S151" s="1023"/>
    </row>
    <row r="152" spans="1:19" hidden="1">
      <c r="A152" s="1058">
        <f t="shared" si="21"/>
        <v>9.7699999999999836</v>
      </c>
      <c r="B152" s="1023"/>
      <c r="C152" s="1035">
        <f t="shared" si="20"/>
        <v>0</v>
      </c>
      <c r="D152" s="1035">
        <f t="shared" si="19"/>
        <v>0</v>
      </c>
      <c r="E152" s="1035"/>
      <c r="F152" s="1035"/>
      <c r="G152" s="1035">
        <f t="shared" si="17"/>
        <v>0</v>
      </c>
      <c r="H152" s="1035"/>
      <c r="I152" s="1035">
        <f t="shared" si="18"/>
        <v>0</v>
      </c>
      <c r="J152" s="1035">
        <f t="shared" si="18"/>
        <v>0</v>
      </c>
      <c r="K152" s="1035">
        <f t="shared" si="18"/>
        <v>0</v>
      </c>
      <c r="L152" s="1035"/>
      <c r="M152" s="1023"/>
      <c r="N152" s="1023"/>
      <c r="O152" s="1023"/>
      <c r="P152" s="1035"/>
      <c r="Q152" s="1023"/>
      <c r="R152" s="1023"/>
      <c r="S152" s="1023"/>
    </row>
    <row r="153" spans="1:19" hidden="1">
      <c r="A153" s="1058">
        <f t="shared" si="21"/>
        <v>9.7799999999999834</v>
      </c>
      <c r="B153" s="1023"/>
      <c r="C153" s="1035">
        <f t="shared" si="20"/>
        <v>0</v>
      </c>
      <c r="D153" s="1035">
        <f t="shared" si="19"/>
        <v>0</v>
      </c>
      <c r="E153" s="1035"/>
      <c r="F153" s="1035"/>
      <c r="G153" s="1035">
        <f t="shared" si="17"/>
        <v>0</v>
      </c>
      <c r="H153" s="1035"/>
      <c r="I153" s="1035">
        <f t="shared" si="18"/>
        <v>0</v>
      </c>
      <c r="J153" s="1035">
        <f t="shared" si="18"/>
        <v>0</v>
      </c>
      <c r="K153" s="1035">
        <f t="shared" si="18"/>
        <v>0</v>
      </c>
      <c r="L153" s="1035"/>
      <c r="M153" s="1023"/>
      <c r="N153" s="1023"/>
      <c r="O153" s="1023"/>
      <c r="P153" s="1035"/>
      <c r="Q153" s="1023"/>
      <c r="R153" s="1023"/>
      <c r="S153" s="1023"/>
    </row>
    <row r="154" spans="1:19" hidden="1">
      <c r="A154" s="1058">
        <f t="shared" si="21"/>
        <v>9.7899999999999832</v>
      </c>
      <c r="B154" s="1023"/>
      <c r="C154" s="1035">
        <f t="shared" si="20"/>
        <v>0</v>
      </c>
      <c r="D154" s="1035">
        <f t="shared" si="19"/>
        <v>0</v>
      </c>
      <c r="E154" s="1035"/>
      <c r="F154" s="1035"/>
      <c r="G154" s="1035">
        <f t="shared" si="17"/>
        <v>0</v>
      </c>
      <c r="H154" s="1035"/>
      <c r="I154" s="1035">
        <f t="shared" si="18"/>
        <v>0</v>
      </c>
      <c r="J154" s="1035">
        <f t="shared" si="18"/>
        <v>0</v>
      </c>
      <c r="K154" s="1035">
        <f t="shared" si="18"/>
        <v>0</v>
      </c>
      <c r="L154" s="1035"/>
      <c r="M154" s="1023"/>
      <c r="N154" s="1023"/>
      <c r="O154" s="1023"/>
      <c r="P154" s="1035"/>
      <c r="Q154" s="1023"/>
      <c r="R154" s="1023"/>
      <c r="S154" s="1023"/>
    </row>
    <row r="155" spans="1:19" hidden="1">
      <c r="A155" s="1058">
        <f t="shared" si="21"/>
        <v>9.7999999999999829</v>
      </c>
      <c r="B155" s="1023"/>
      <c r="C155" s="1035">
        <f t="shared" si="20"/>
        <v>0</v>
      </c>
      <c r="D155" s="1035">
        <f t="shared" si="19"/>
        <v>0</v>
      </c>
      <c r="E155" s="1035"/>
      <c r="F155" s="1035"/>
      <c r="G155" s="1035">
        <f t="shared" si="17"/>
        <v>0</v>
      </c>
      <c r="H155" s="1035"/>
      <c r="I155" s="1035">
        <f t="shared" si="18"/>
        <v>0</v>
      </c>
      <c r="J155" s="1035">
        <f t="shared" si="18"/>
        <v>0</v>
      </c>
      <c r="K155" s="1035">
        <f t="shared" si="18"/>
        <v>0</v>
      </c>
      <c r="L155" s="1035"/>
      <c r="M155" s="1023"/>
      <c r="N155" s="1023"/>
      <c r="O155" s="1023"/>
      <c r="P155" s="1035"/>
      <c r="Q155" s="1023"/>
      <c r="R155" s="1023"/>
      <c r="S155" s="1023"/>
    </row>
    <row r="156" spans="1:19" hidden="1">
      <c r="A156" s="1058">
        <f t="shared" si="21"/>
        <v>9.8099999999999827</v>
      </c>
      <c r="B156" s="1023"/>
      <c r="C156" s="1035">
        <f t="shared" si="20"/>
        <v>0</v>
      </c>
      <c r="D156" s="1035">
        <f t="shared" si="19"/>
        <v>0</v>
      </c>
      <c r="E156" s="1035"/>
      <c r="F156" s="1035"/>
      <c r="G156" s="1035">
        <f t="shared" si="17"/>
        <v>0</v>
      </c>
      <c r="H156" s="1035"/>
      <c r="I156" s="1035">
        <f t="shared" si="18"/>
        <v>0</v>
      </c>
      <c r="J156" s="1035">
        <f t="shared" si="18"/>
        <v>0</v>
      </c>
      <c r="K156" s="1035">
        <f t="shared" si="18"/>
        <v>0</v>
      </c>
      <c r="L156" s="1035"/>
      <c r="M156" s="1023"/>
      <c r="N156" s="1023"/>
      <c r="O156" s="1023"/>
      <c r="P156" s="1035"/>
      <c r="Q156" s="1023"/>
      <c r="R156" s="1023"/>
      <c r="S156" s="1023"/>
    </row>
    <row r="157" spans="1:19" hidden="1">
      <c r="A157" s="1058">
        <f t="shared" si="21"/>
        <v>9.8199999999999825</v>
      </c>
      <c r="B157" s="1023"/>
      <c r="C157" s="1035">
        <f t="shared" si="20"/>
        <v>0</v>
      </c>
      <c r="D157" s="1035">
        <f t="shared" si="19"/>
        <v>0</v>
      </c>
      <c r="E157" s="1035"/>
      <c r="F157" s="1035"/>
      <c r="G157" s="1035">
        <f t="shared" si="17"/>
        <v>0</v>
      </c>
      <c r="H157" s="1035"/>
      <c r="I157" s="1035">
        <f t="shared" si="18"/>
        <v>0</v>
      </c>
      <c r="J157" s="1035">
        <f t="shared" si="18"/>
        <v>0</v>
      </c>
      <c r="K157" s="1035">
        <f t="shared" si="18"/>
        <v>0</v>
      </c>
      <c r="L157" s="1035"/>
      <c r="M157" s="1023"/>
      <c r="N157" s="1023"/>
      <c r="O157" s="1023"/>
      <c r="P157" s="1035"/>
      <c r="Q157" s="1023"/>
      <c r="R157" s="1023"/>
      <c r="S157" s="1023"/>
    </row>
    <row r="158" spans="1:19" hidden="1">
      <c r="A158" s="1058">
        <f t="shared" si="21"/>
        <v>9.8299999999999823</v>
      </c>
      <c r="B158" s="1023"/>
      <c r="C158" s="1035">
        <f>SUM(M158:O158)</f>
        <v>0</v>
      </c>
      <c r="D158" s="1035">
        <f t="shared" si="19"/>
        <v>0</v>
      </c>
      <c r="E158" s="1035"/>
      <c r="F158" s="1035"/>
      <c r="G158" s="1035">
        <f t="shared" si="17"/>
        <v>0</v>
      </c>
      <c r="H158" s="1035"/>
      <c r="I158" s="1035">
        <f t="shared" ref="I158:K168" si="22">(M158+Q158)/2</f>
        <v>0</v>
      </c>
      <c r="J158" s="1035">
        <f t="shared" si="22"/>
        <v>0</v>
      </c>
      <c r="K158" s="1035">
        <f t="shared" si="22"/>
        <v>0</v>
      </c>
      <c r="L158" s="1035"/>
      <c r="M158" s="1023"/>
      <c r="N158" s="1023"/>
      <c r="O158" s="1023"/>
      <c r="P158" s="1035"/>
      <c r="Q158" s="1023"/>
      <c r="R158" s="1023"/>
      <c r="S158" s="1023"/>
    </row>
    <row r="159" spans="1:19" hidden="1">
      <c r="A159" s="1058">
        <f t="shared" si="21"/>
        <v>9.8399999999999821</v>
      </c>
      <c r="B159" s="1023"/>
      <c r="C159" s="1035">
        <f>SUM(M159:O159)</f>
        <v>0</v>
      </c>
      <c r="D159" s="1035">
        <f t="shared" si="19"/>
        <v>0</v>
      </c>
      <c r="E159" s="1035"/>
      <c r="F159" s="1035"/>
      <c r="G159" s="1035">
        <f t="shared" si="17"/>
        <v>0</v>
      </c>
      <c r="H159" s="1035"/>
      <c r="I159" s="1035">
        <f t="shared" si="22"/>
        <v>0</v>
      </c>
      <c r="J159" s="1035">
        <f t="shared" si="22"/>
        <v>0</v>
      </c>
      <c r="K159" s="1035">
        <f t="shared" si="22"/>
        <v>0</v>
      </c>
      <c r="L159" s="1035"/>
      <c r="M159" s="1023"/>
      <c r="N159" s="1023"/>
      <c r="O159" s="1023"/>
      <c r="P159" s="1035"/>
      <c r="Q159" s="1023"/>
      <c r="R159" s="1023"/>
      <c r="S159" s="1023"/>
    </row>
    <row r="160" spans="1:19" hidden="1">
      <c r="A160" s="1058">
        <f t="shared" si="21"/>
        <v>9.8499999999999819</v>
      </c>
      <c r="B160" s="1023"/>
      <c r="C160" s="1035">
        <f>SUM(M160:O160)</f>
        <v>0</v>
      </c>
      <c r="D160" s="1035">
        <f t="shared" si="19"/>
        <v>0</v>
      </c>
      <c r="E160" s="1035"/>
      <c r="F160" s="1035"/>
      <c r="G160" s="1035">
        <f t="shared" si="17"/>
        <v>0</v>
      </c>
      <c r="H160" s="1035"/>
      <c r="I160" s="1035">
        <f t="shared" si="22"/>
        <v>0</v>
      </c>
      <c r="J160" s="1035">
        <f t="shared" si="22"/>
        <v>0</v>
      </c>
      <c r="K160" s="1035">
        <f t="shared" si="22"/>
        <v>0</v>
      </c>
      <c r="L160" s="1035"/>
      <c r="M160" s="1023"/>
      <c r="N160" s="1023"/>
      <c r="O160" s="1023"/>
      <c r="P160" s="1035"/>
      <c r="Q160" s="1023"/>
      <c r="R160" s="1023"/>
      <c r="S160" s="1023"/>
    </row>
    <row r="161" spans="1:19" hidden="1">
      <c r="A161" s="1058">
        <f t="shared" si="21"/>
        <v>9.8599999999999817</v>
      </c>
      <c r="B161" s="1023"/>
      <c r="C161" s="1035">
        <f>SUM(M161:O161)</f>
        <v>0</v>
      </c>
      <c r="D161" s="1035">
        <f t="shared" si="19"/>
        <v>0</v>
      </c>
      <c r="E161" s="1035"/>
      <c r="F161" s="1035"/>
      <c r="G161" s="1035">
        <f t="shared" si="17"/>
        <v>0</v>
      </c>
      <c r="H161" s="1035"/>
      <c r="I161" s="1035">
        <f t="shared" si="22"/>
        <v>0</v>
      </c>
      <c r="J161" s="1035">
        <f t="shared" si="22"/>
        <v>0</v>
      </c>
      <c r="K161" s="1035">
        <f t="shared" si="22"/>
        <v>0</v>
      </c>
      <c r="L161" s="1035"/>
      <c r="M161" s="1023"/>
      <c r="N161" s="1023"/>
      <c r="O161" s="1023"/>
      <c r="P161" s="1035"/>
      <c r="Q161" s="1023"/>
      <c r="R161" s="1023"/>
      <c r="S161" s="1023"/>
    </row>
    <row r="162" spans="1:19" hidden="1">
      <c r="A162" s="1058">
        <f t="shared" si="21"/>
        <v>9.8699999999999815</v>
      </c>
      <c r="B162" s="1023"/>
      <c r="C162" s="1035">
        <f t="shared" si="20"/>
        <v>0</v>
      </c>
      <c r="D162" s="1035">
        <f t="shared" si="19"/>
        <v>0</v>
      </c>
      <c r="E162" s="1035"/>
      <c r="F162" s="1035"/>
      <c r="G162" s="1035">
        <f t="shared" si="17"/>
        <v>0</v>
      </c>
      <c r="H162" s="1035"/>
      <c r="I162" s="1035">
        <f t="shared" si="22"/>
        <v>0</v>
      </c>
      <c r="J162" s="1035">
        <f t="shared" si="22"/>
        <v>0</v>
      </c>
      <c r="K162" s="1035">
        <f t="shared" si="22"/>
        <v>0</v>
      </c>
      <c r="L162" s="1035"/>
      <c r="M162" s="1023"/>
      <c r="N162" s="1023"/>
      <c r="O162" s="1023"/>
      <c r="P162" s="1035"/>
      <c r="Q162" s="1023"/>
      <c r="R162" s="1023"/>
      <c r="S162" s="1023"/>
    </row>
    <row r="163" spans="1:19" hidden="1">
      <c r="A163" s="1058">
        <f t="shared" si="21"/>
        <v>9.8799999999999812</v>
      </c>
      <c r="B163" s="1023"/>
      <c r="C163" s="1035">
        <f t="shared" si="20"/>
        <v>0</v>
      </c>
      <c r="D163" s="1035">
        <f t="shared" si="19"/>
        <v>0</v>
      </c>
      <c r="E163" s="1035"/>
      <c r="F163" s="1035"/>
      <c r="G163" s="1035">
        <f t="shared" si="17"/>
        <v>0</v>
      </c>
      <c r="H163" s="1035"/>
      <c r="I163" s="1035">
        <f t="shared" si="22"/>
        <v>0</v>
      </c>
      <c r="J163" s="1035">
        <f t="shared" si="22"/>
        <v>0</v>
      </c>
      <c r="K163" s="1035">
        <f t="shared" si="22"/>
        <v>0</v>
      </c>
      <c r="L163" s="1035"/>
      <c r="M163" s="1023"/>
      <c r="N163" s="1023"/>
      <c r="O163" s="1023"/>
      <c r="P163" s="1035"/>
      <c r="Q163" s="1023"/>
      <c r="R163" s="1023"/>
      <c r="S163" s="1023"/>
    </row>
    <row r="164" spans="1:19" hidden="1">
      <c r="A164" s="1058">
        <f t="shared" si="21"/>
        <v>9.889999999999981</v>
      </c>
      <c r="B164" s="1023"/>
      <c r="C164" s="1035">
        <f t="shared" si="20"/>
        <v>0</v>
      </c>
      <c r="D164" s="1035">
        <f t="shared" si="19"/>
        <v>0</v>
      </c>
      <c r="E164" s="1035"/>
      <c r="F164" s="1035"/>
      <c r="G164" s="1035">
        <f t="shared" si="17"/>
        <v>0</v>
      </c>
      <c r="H164" s="1035"/>
      <c r="I164" s="1035">
        <f t="shared" si="22"/>
        <v>0</v>
      </c>
      <c r="J164" s="1035">
        <f t="shared" si="22"/>
        <v>0</v>
      </c>
      <c r="K164" s="1035">
        <f t="shared" si="22"/>
        <v>0</v>
      </c>
      <c r="L164" s="1035"/>
      <c r="M164" s="1023"/>
      <c r="N164" s="1023"/>
      <c r="O164" s="1023"/>
      <c r="P164" s="1035"/>
      <c r="Q164" s="1023"/>
      <c r="R164" s="1023"/>
      <c r="S164" s="1023"/>
    </row>
    <row r="165" spans="1:19" hidden="1">
      <c r="A165" s="1058">
        <f t="shared" si="21"/>
        <v>9.8999999999999808</v>
      </c>
      <c r="B165" s="1023"/>
      <c r="C165" s="1035">
        <f t="shared" si="20"/>
        <v>0</v>
      </c>
      <c r="D165" s="1035">
        <f t="shared" si="19"/>
        <v>0</v>
      </c>
      <c r="E165" s="1035"/>
      <c r="F165" s="1035"/>
      <c r="G165" s="1035">
        <f t="shared" si="17"/>
        <v>0</v>
      </c>
      <c r="H165" s="1035"/>
      <c r="I165" s="1035">
        <f t="shared" si="22"/>
        <v>0</v>
      </c>
      <c r="J165" s="1035">
        <f t="shared" si="22"/>
        <v>0</v>
      </c>
      <c r="K165" s="1035">
        <f t="shared" si="22"/>
        <v>0</v>
      </c>
      <c r="L165" s="1035"/>
      <c r="M165" s="1023"/>
      <c r="N165" s="1023"/>
      <c r="O165" s="1023"/>
      <c r="P165" s="1035"/>
      <c r="Q165" s="1023"/>
      <c r="R165" s="1023"/>
      <c r="S165" s="1023"/>
    </row>
    <row r="166" spans="1:19" hidden="1">
      <c r="A166" s="1058">
        <f t="shared" si="21"/>
        <v>9.9099999999999806</v>
      </c>
      <c r="B166" s="1023"/>
      <c r="C166" s="1035">
        <f t="shared" si="20"/>
        <v>0</v>
      </c>
      <c r="D166" s="1035">
        <f t="shared" si="19"/>
        <v>0</v>
      </c>
      <c r="E166" s="1035"/>
      <c r="F166" s="1035"/>
      <c r="G166" s="1035">
        <f>ROUND(SUM(C166:F166)/2,0)</f>
        <v>0</v>
      </c>
      <c r="H166" s="1035"/>
      <c r="I166" s="1035">
        <f t="shared" si="22"/>
        <v>0</v>
      </c>
      <c r="J166" s="1035">
        <f t="shared" si="22"/>
        <v>0</v>
      </c>
      <c r="K166" s="1035">
        <f t="shared" si="22"/>
        <v>0</v>
      </c>
      <c r="L166" s="1035"/>
      <c r="M166" s="1023"/>
      <c r="N166" s="1023"/>
      <c r="O166" s="1023"/>
      <c r="P166" s="1035"/>
      <c r="Q166" s="1023"/>
      <c r="R166" s="1023"/>
      <c r="S166" s="1023"/>
    </row>
    <row r="167" spans="1:19" hidden="1">
      <c r="A167" s="1058">
        <f t="shared" si="21"/>
        <v>9.9199999999999804</v>
      </c>
      <c r="B167" s="1023"/>
      <c r="C167" s="1035">
        <f t="shared" si="20"/>
        <v>0</v>
      </c>
      <c r="D167" s="1035">
        <f t="shared" si="19"/>
        <v>0</v>
      </c>
      <c r="E167" s="1035"/>
      <c r="F167" s="1035"/>
      <c r="G167" s="1035">
        <f t="shared" si="17"/>
        <v>0</v>
      </c>
      <c r="H167" s="1035"/>
      <c r="I167" s="1035">
        <f t="shared" si="22"/>
        <v>0</v>
      </c>
      <c r="J167" s="1035">
        <f t="shared" si="22"/>
        <v>0</v>
      </c>
      <c r="K167" s="1035">
        <f t="shared" si="22"/>
        <v>0</v>
      </c>
      <c r="L167" s="1035"/>
      <c r="M167" s="1023"/>
      <c r="N167" s="1023"/>
      <c r="O167" s="1023"/>
      <c r="P167" s="1035"/>
      <c r="Q167" s="1023"/>
      <c r="R167" s="1023"/>
      <c r="S167" s="1023"/>
    </row>
    <row r="168" spans="1:19">
      <c r="A168" s="1058">
        <f t="shared" si="21"/>
        <v>9.9299999999999802</v>
      </c>
      <c r="B168" s="1023"/>
      <c r="C168" s="1035">
        <f t="shared" si="20"/>
        <v>0</v>
      </c>
      <c r="D168" s="1035">
        <f t="shared" si="19"/>
        <v>0</v>
      </c>
      <c r="E168" s="1035"/>
      <c r="F168" s="1035"/>
      <c r="G168" s="1035">
        <f t="shared" si="17"/>
        <v>0</v>
      </c>
      <c r="H168" s="1035"/>
      <c r="I168" s="1035">
        <f t="shared" si="22"/>
        <v>0</v>
      </c>
      <c r="J168" s="1035">
        <f t="shared" si="22"/>
        <v>0</v>
      </c>
      <c r="K168" s="1035">
        <f t="shared" si="22"/>
        <v>0</v>
      </c>
      <c r="L168" s="1035"/>
      <c r="M168" s="1023"/>
      <c r="N168" s="1023"/>
      <c r="O168" s="1023"/>
      <c r="P168" s="1035"/>
      <c r="Q168" s="1023"/>
      <c r="R168" s="1023"/>
      <c r="S168" s="1023"/>
    </row>
    <row r="169" spans="1:19">
      <c r="A169" s="1058">
        <f t="shared" si="21"/>
        <v>9.93999999999998</v>
      </c>
      <c r="B169" s="1023"/>
      <c r="C169" s="1023"/>
      <c r="D169" s="1023"/>
      <c r="E169" s="1035">
        <f t="shared" ref="E169:F174" si="23">-C169</f>
        <v>0</v>
      </c>
      <c r="F169" s="1035">
        <f t="shared" si="23"/>
        <v>0</v>
      </c>
      <c r="G169" s="1035">
        <f t="shared" si="17"/>
        <v>0</v>
      </c>
      <c r="H169" s="1035"/>
      <c r="I169" s="1035"/>
      <c r="J169" s="1035"/>
      <c r="K169" s="1035"/>
      <c r="L169" s="1035"/>
      <c r="M169" s="1035"/>
      <c r="N169" s="1035"/>
      <c r="O169" s="1035"/>
      <c r="P169" s="1035"/>
      <c r="Q169" s="1035"/>
      <c r="R169" s="1035"/>
      <c r="S169" s="1035"/>
    </row>
    <row r="170" spans="1:19">
      <c r="A170" s="1058">
        <f t="shared" si="21"/>
        <v>9.9499999999999797</v>
      </c>
      <c r="B170" s="1023"/>
      <c r="C170" s="1023"/>
      <c r="D170" s="1023"/>
      <c r="E170" s="1035">
        <f t="shared" si="23"/>
        <v>0</v>
      </c>
      <c r="F170" s="1035">
        <f t="shared" si="23"/>
        <v>0</v>
      </c>
      <c r="G170" s="1035">
        <f t="shared" si="17"/>
        <v>0</v>
      </c>
      <c r="H170" s="1035"/>
      <c r="I170" s="1035"/>
      <c r="J170" s="1035"/>
      <c r="K170" s="1035"/>
      <c r="L170" s="1035"/>
      <c r="M170" s="1035"/>
      <c r="N170" s="1035"/>
      <c r="O170" s="1035"/>
      <c r="P170" s="1035"/>
      <c r="Q170" s="1035"/>
      <c r="R170" s="1035"/>
      <c r="S170" s="1035"/>
    </row>
    <row r="171" spans="1:19">
      <c r="A171" s="1058">
        <f t="shared" si="21"/>
        <v>9.9599999999999795</v>
      </c>
      <c r="B171" s="1023"/>
      <c r="C171" s="1023"/>
      <c r="D171" s="1023"/>
      <c r="E171" s="1035">
        <f t="shared" si="23"/>
        <v>0</v>
      </c>
      <c r="F171" s="1035">
        <f t="shared" si="23"/>
        <v>0</v>
      </c>
      <c r="G171" s="1035">
        <f t="shared" si="17"/>
        <v>0</v>
      </c>
      <c r="H171" s="1035"/>
      <c r="I171" s="1035"/>
      <c r="J171" s="1035"/>
      <c r="K171" s="1035"/>
      <c r="L171" s="1035"/>
      <c r="M171" s="1035"/>
      <c r="N171" s="1035"/>
      <c r="O171" s="1035"/>
      <c r="P171" s="1035"/>
      <c r="Q171" s="1035"/>
      <c r="R171" s="1035"/>
      <c r="S171" s="1035"/>
    </row>
    <row r="172" spans="1:19">
      <c r="A172" s="1058">
        <f t="shared" si="21"/>
        <v>9.9699999999999793</v>
      </c>
      <c r="B172" s="1023"/>
      <c r="C172" s="1023"/>
      <c r="D172" s="1023"/>
      <c r="E172" s="1035">
        <f>-C172</f>
        <v>0</v>
      </c>
      <c r="F172" s="1035">
        <f>-D172</f>
        <v>0</v>
      </c>
      <c r="G172" s="1035">
        <f t="shared" si="17"/>
        <v>0</v>
      </c>
      <c r="H172" s="1035"/>
      <c r="I172" s="1035"/>
      <c r="J172" s="1035"/>
      <c r="K172" s="1035"/>
      <c r="L172" s="1035"/>
      <c r="M172" s="1035"/>
      <c r="N172" s="1035"/>
      <c r="O172" s="1035"/>
      <c r="P172" s="1035"/>
      <c r="Q172" s="1035"/>
      <c r="R172" s="1035"/>
      <c r="S172" s="1035"/>
    </row>
    <row r="173" spans="1:19">
      <c r="A173" s="1058">
        <f t="shared" si="21"/>
        <v>9.9799999999999791</v>
      </c>
      <c r="B173" s="1023"/>
      <c r="C173" s="1023"/>
      <c r="D173" s="1023"/>
      <c r="E173" s="1035">
        <f>-C173</f>
        <v>0</v>
      </c>
      <c r="F173" s="1035">
        <f>-D173</f>
        <v>0</v>
      </c>
      <c r="G173" s="1035">
        <f t="shared" si="17"/>
        <v>0</v>
      </c>
      <c r="H173" s="1035"/>
      <c r="I173" s="1035"/>
      <c r="J173" s="1035"/>
      <c r="K173" s="1035"/>
      <c r="L173" s="1035"/>
      <c r="M173" s="1035"/>
      <c r="N173" s="1035"/>
      <c r="O173" s="1035"/>
      <c r="P173" s="1035"/>
      <c r="Q173" s="1035"/>
      <c r="R173" s="1035"/>
      <c r="S173" s="1035"/>
    </row>
    <row r="174" spans="1:19">
      <c r="A174" s="1058">
        <f t="shared" si="21"/>
        <v>9.9899999999999789</v>
      </c>
      <c r="B174" s="1023"/>
      <c r="C174" s="1023"/>
      <c r="D174" s="1023"/>
      <c r="E174" s="1035">
        <f t="shared" si="23"/>
        <v>0</v>
      </c>
      <c r="F174" s="1035">
        <f t="shared" si="23"/>
        <v>0</v>
      </c>
      <c r="G174" s="1035">
        <f t="shared" si="17"/>
        <v>0</v>
      </c>
      <c r="H174" s="1035"/>
      <c r="I174" s="1035"/>
      <c r="J174" s="1035"/>
      <c r="K174" s="1035"/>
      <c r="L174" s="1035"/>
      <c r="M174" s="1035"/>
      <c r="N174" s="1035"/>
      <c r="O174" s="1035"/>
      <c r="P174" s="1035"/>
      <c r="Q174" s="1035"/>
      <c r="R174" s="1035"/>
      <c r="S174" s="1035"/>
    </row>
    <row r="175" spans="1:19">
      <c r="A175" s="1044"/>
      <c r="B175" s="1027"/>
      <c r="C175" s="1035"/>
      <c r="D175" s="1035"/>
      <c r="E175" s="1035"/>
      <c r="F175" s="1035"/>
      <c r="G175" s="1035"/>
      <c r="H175" s="1035"/>
      <c r="I175" s="1035"/>
      <c r="J175" s="1035"/>
      <c r="K175" s="1035"/>
      <c r="L175" s="1035"/>
      <c r="M175" s="1035"/>
      <c r="N175" s="1035"/>
      <c r="O175" s="1035"/>
      <c r="P175" s="1035"/>
      <c r="Q175" s="1035"/>
      <c r="R175" s="1035"/>
      <c r="S175" s="1035"/>
    </row>
    <row r="176" spans="1:19">
      <c r="A176" s="1044"/>
      <c r="B176" s="1027"/>
      <c r="C176" s="1035"/>
      <c r="D176" s="1035"/>
      <c r="E176" s="1035"/>
      <c r="F176" s="1035"/>
      <c r="G176" s="1035"/>
      <c r="H176" s="1035"/>
      <c r="I176" s="1035"/>
      <c r="J176" s="1035"/>
      <c r="K176" s="1035"/>
      <c r="L176" s="1035"/>
      <c r="M176" s="1035"/>
      <c r="N176" s="1035"/>
      <c r="O176" s="1035"/>
      <c r="P176" s="1035"/>
      <c r="Q176" s="1035"/>
      <c r="R176" s="1035"/>
      <c r="S176" s="1035"/>
    </row>
    <row r="177" spans="1:19" ht="13.5" thickBot="1">
      <c r="A177" s="1044">
        <v>10</v>
      </c>
      <c r="B177" s="1024"/>
      <c r="C177" s="1037">
        <f>SUM(C76:C176)</f>
        <v>0</v>
      </c>
      <c r="D177" s="1037">
        <f>SUM(D76:D176)</f>
        <v>0</v>
      </c>
      <c r="E177" s="1037">
        <f>SUM(E76:E176)</f>
        <v>0</v>
      </c>
      <c r="F177" s="1037">
        <f>SUM(F76:F176)</f>
        <v>0</v>
      </c>
      <c r="G177" s="1037">
        <f>SUM(G76:G176)</f>
        <v>0</v>
      </c>
      <c r="H177" s="1035"/>
      <c r="I177" s="1037">
        <f>SUM(I76:I176)</f>
        <v>0</v>
      </c>
      <c r="J177" s="1037">
        <f>SUM(J76:J176)</f>
        <v>0</v>
      </c>
      <c r="K177" s="1037">
        <f>SUM(K76:K176)</f>
        <v>0</v>
      </c>
      <c r="L177" s="1035"/>
      <c r="M177" s="1037">
        <f>SUM(M76:M176)</f>
        <v>0</v>
      </c>
      <c r="N177" s="1037">
        <f>SUM(N76:N176)</f>
        <v>0</v>
      </c>
      <c r="O177" s="1037">
        <f>SUM(O76:O176)</f>
        <v>0</v>
      </c>
      <c r="P177" s="1035"/>
      <c r="Q177" s="1037">
        <f>SUM(Q76:Q176)</f>
        <v>0</v>
      </c>
      <c r="R177" s="1037">
        <f>SUM(R76:R176)</f>
        <v>0</v>
      </c>
      <c r="S177" s="1037">
        <f>SUM(S76:S176)</f>
        <v>0</v>
      </c>
    </row>
    <row r="178" spans="1:19" ht="13.5" thickTop="1">
      <c r="A178" s="1044"/>
      <c r="B178" s="1027"/>
      <c r="C178" s="1038"/>
      <c r="D178" s="1038"/>
      <c r="E178" s="1038"/>
      <c r="F178" s="1038"/>
      <c r="G178" s="1038"/>
      <c r="H178" s="1035"/>
      <c r="I178" s="1038"/>
      <c r="J178" s="1038"/>
      <c r="K178" s="1038"/>
      <c r="L178" s="1035"/>
      <c r="M178" s="1038"/>
      <c r="N178" s="1038"/>
      <c r="O178" s="1038"/>
      <c r="P178" s="1035"/>
      <c r="Q178" s="1038"/>
      <c r="R178" s="1038"/>
      <c r="S178" s="1038"/>
    </row>
    <row r="179" spans="1:19">
      <c r="A179" s="1044"/>
      <c r="B179" s="1027"/>
      <c r="C179" s="1035"/>
      <c r="D179" s="1035"/>
      <c r="E179" s="1035"/>
      <c r="F179" s="1035"/>
      <c r="G179" s="1035"/>
      <c r="H179" s="1035"/>
      <c r="I179" s="1035"/>
      <c r="J179" s="1035"/>
      <c r="K179" s="1035"/>
      <c r="L179" s="1035"/>
      <c r="M179" s="1035"/>
      <c r="N179" s="1035"/>
      <c r="O179" s="1035"/>
      <c r="P179" s="1035"/>
      <c r="Q179" s="1035"/>
      <c r="R179" s="1035"/>
      <c r="S179" s="1035"/>
    </row>
    <row r="180" spans="1:19">
      <c r="A180" s="1044">
        <f>+A177+1</f>
        <v>11</v>
      </c>
      <c r="B180" s="1021" t="s">
        <v>677</v>
      </c>
      <c r="C180" s="1035">
        <f>SUM(M180:O180)</f>
        <v>0</v>
      </c>
      <c r="D180" s="1035">
        <f>SUM(Q180:S180)</f>
        <v>0</v>
      </c>
      <c r="E180" s="1035"/>
      <c r="F180" s="1035"/>
      <c r="G180" s="1035">
        <f>ROUND(SUM(C180:F180)/2,0)</f>
        <v>0</v>
      </c>
      <c r="H180" s="1035"/>
      <c r="I180" s="1035">
        <f>(M180+Q180)/2</f>
        <v>0</v>
      </c>
      <c r="J180" s="1035">
        <f>(N180+R180)/2</f>
        <v>0</v>
      </c>
      <c r="K180" s="1035">
        <f>(O180+S180)/2</f>
        <v>0</v>
      </c>
      <c r="L180" s="1035"/>
      <c r="M180" s="1023"/>
      <c r="N180" s="1023"/>
      <c r="O180" s="1023"/>
      <c r="P180" s="1035"/>
      <c r="Q180" s="1023"/>
      <c r="R180" s="1023"/>
      <c r="S180" s="1023"/>
    </row>
    <row r="181" spans="1:19">
      <c r="A181" s="1067">
        <f>A180+0.01</f>
        <v>11.01</v>
      </c>
      <c r="B181" s="1023"/>
      <c r="C181" s="1023"/>
      <c r="D181" s="1023"/>
      <c r="E181" s="1035">
        <f>-C181</f>
        <v>0</v>
      </c>
      <c r="F181" s="1035">
        <f>-D181</f>
        <v>0</v>
      </c>
      <c r="G181" s="1035">
        <f>ROUND(SUM(C181:F181)/2,0)</f>
        <v>0</v>
      </c>
      <c r="H181" s="1035"/>
      <c r="I181" s="1035"/>
      <c r="J181" s="1035"/>
      <c r="K181" s="1035"/>
      <c r="L181" s="1035"/>
      <c r="M181" s="1035"/>
      <c r="N181" s="1035"/>
      <c r="O181" s="1035"/>
      <c r="P181" s="1035"/>
      <c r="Q181" s="1035"/>
      <c r="R181" s="1035"/>
      <c r="S181" s="1035"/>
    </row>
    <row r="182" spans="1:19">
      <c r="A182" s="1044"/>
      <c r="B182" s="1027"/>
      <c r="C182" s="1035"/>
      <c r="D182" s="1035"/>
      <c r="E182" s="1035"/>
      <c r="F182" s="1035"/>
      <c r="G182" s="1035"/>
      <c r="H182" s="1035"/>
      <c r="I182" s="1035"/>
      <c r="J182" s="1035"/>
      <c r="K182" s="1035"/>
      <c r="L182" s="1035"/>
      <c r="M182" s="1035"/>
      <c r="N182" s="1035"/>
      <c r="O182" s="1035"/>
      <c r="P182" s="1035"/>
      <c r="Q182" s="1035"/>
      <c r="R182" s="1035"/>
      <c r="S182" s="1035"/>
    </row>
    <row r="183" spans="1:19" ht="13.5" thickBot="1">
      <c r="A183" s="1044">
        <f>+A180+1</f>
        <v>12</v>
      </c>
      <c r="B183" s="1024" t="s">
        <v>678</v>
      </c>
      <c r="C183" s="1037">
        <f>SUM(C177:C182)</f>
        <v>0</v>
      </c>
      <c r="D183" s="1037">
        <f>SUM(D177:D182)</f>
        <v>0</v>
      </c>
      <c r="E183" s="1037">
        <f>SUM(E177:E182)</f>
        <v>0</v>
      </c>
      <c r="F183" s="1037">
        <f>SUM(F177:F182)</f>
        <v>0</v>
      </c>
      <c r="G183" s="1037">
        <f>SUM(G177:G182)</f>
        <v>0</v>
      </c>
      <c r="H183" s="1035"/>
      <c r="I183" s="1037">
        <f>SUM(I177:I182)</f>
        <v>0</v>
      </c>
      <c r="J183" s="1037">
        <f>SUM(J177:J182)</f>
        <v>0</v>
      </c>
      <c r="K183" s="1037">
        <f>SUM(K177:K182)</f>
        <v>0</v>
      </c>
      <c r="L183" s="1035"/>
      <c r="M183" s="1041">
        <f>SUM(M177:M182)</f>
        <v>0</v>
      </c>
      <c r="N183" s="1041">
        <f>SUM(N177:N182)</f>
        <v>0</v>
      </c>
      <c r="O183" s="1041">
        <f>SUM(O177:O182)</f>
        <v>0</v>
      </c>
      <c r="P183" s="1035"/>
      <c r="Q183" s="1037">
        <f>SUM(Q177:Q182)</f>
        <v>0</v>
      </c>
      <c r="R183" s="1037">
        <f>SUM(R177:R182)</f>
        <v>0</v>
      </c>
      <c r="S183" s="1037">
        <f>SUM(S177:S182)</f>
        <v>0</v>
      </c>
    </row>
    <row r="184" spans="1:19" ht="13.5" thickTop="1">
      <c r="A184" s="1044">
        <f>A183+1</f>
        <v>13</v>
      </c>
      <c r="B184" s="1027" t="s">
        <v>679</v>
      </c>
      <c r="C184" s="1038">
        <f>C106+C139</f>
        <v>0</v>
      </c>
      <c r="D184" s="1038">
        <f>D106+D139</f>
        <v>0</v>
      </c>
      <c r="E184" s="1038">
        <f>E106+E139</f>
        <v>0</v>
      </c>
      <c r="F184" s="1038">
        <f>F106+F139</f>
        <v>0</v>
      </c>
      <c r="G184" s="1038">
        <f>G106+G139</f>
        <v>0</v>
      </c>
      <c r="H184" s="1035"/>
      <c r="I184" s="1038">
        <f>I106+I139</f>
        <v>0</v>
      </c>
      <c r="J184" s="1038">
        <f>J106+J139</f>
        <v>0</v>
      </c>
      <c r="K184" s="1038">
        <f>K106+K139</f>
        <v>0</v>
      </c>
      <c r="L184" s="1035"/>
      <c r="M184" s="1038">
        <f>M106+M139</f>
        <v>0</v>
      </c>
      <c r="N184" s="1038">
        <f>N106+N139</f>
        <v>0</v>
      </c>
      <c r="O184" s="1038">
        <f>O106+O139</f>
        <v>0</v>
      </c>
      <c r="P184" s="1035"/>
      <c r="Q184" s="1038">
        <f>Q106+Q139</f>
        <v>0</v>
      </c>
      <c r="R184" s="1038">
        <f>R106+R139</f>
        <v>0</v>
      </c>
      <c r="S184" s="1038">
        <f>S106+S139</f>
        <v>0</v>
      </c>
    </row>
    <row r="185" spans="1:19">
      <c r="A185" s="1044"/>
      <c r="B185" s="1027"/>
      <c r="C185" s="1040"/>
      <c r="D185" s="1040"/>
      <c r="E185" s="1035"/>
      <c r="F185" s="1035"/>
      <c r="G185" s="1035"/>
      <c r="H185" s="1035"/>
      <c r="I185" s="1035"/>
      <c r="J185" s="1035"/>
      <c r="K185" s="1035"/>
      <c r="L185" s="1035"/>
      <c r="M185" s="1035"/>
      <c r="N185" s="1035"/>
      <c r="O185" s="1035"/>
      <c r="P185" s="1035"/>
      <c r="Q185" s="1035"/>
      <c r="R185" s="1035"/>
      <c r="S185" s="1035"/>
    </row>
    <row r="186" spans="1:19">
      <c r="A186" s="1044">
        <f>+A184+1</f>
        <v>14</v>
      </c>
      <c r="B186" s="1024" t="s">
        <v>680</v>
      </c>
      <c r="C186" s="1035"/>
      <c r="D186" s="1035"/>
      <c r="E186" s="1035"/>
      <c r="F186" s="1035"/>
      <c r="G186" s="1035"/>
      <c r="H186" s="1035"/>
      <c r="I186" s="1035"/>
      <c r="J186" s="1035"/>
      <c r="K186" s="1035"/>
      <c r="L186" s="1035"/>
      <c r="M186" s="1035"/>
      <c r="N186" s="1035"/>
      <c r="O186" s="1035"/>
      <c r="P186" s="1035"/>
      <c r="Q186" s="1035"/>
      <c r="R186" s="1035"/>
      <c r="S186" s="1035"/>
    </row>
    <row r="187" spans="1:19">
      <c r="A187" s="1044"/>
      <c r="B187" s="1027"/>
      <c r="C187" s="1035"/>
      <c r="D187" s="1035"/>
      <c r="E187" s="1035"/>
      <c r="F187" s="1035"/>
      <c r="G187" s="1035"/>
      <c r="H187" s="1035"/>
      <c r="I187" s="1035"/>
      <c r="J187" s="1035"/>
      <c r="K187" s="1035"/>
      <c r="L187" s="1035"/>
      <c r="M187" s="1035"/>
      <c r="N187" s="1035"/>
      <c r="O187" s="1035"/>
      <c r="P187" s="1035"/>
      <c r="Q187" s="1035"/>
      <c r="R187" s="1035"/>
      <c r="S187" s="1035"/>
    </row>
    <row r="188" spans="1:19">
      <c r="A188" s="1044">
        <f>+A186+1</f>
        <v>15</v>
      </c>
      <c r="B188" s="1024" t="s">
        <v>681</v>
      </c>
      <c r="C188" s="1035"/>
      <c r="D188" s="1035"/>
      <c r="E188" s="1035"/>
      <c r="F188" s="1035"/>
      <c r="G188" s="1035"/>
      <c r="H188" s="1035"/>
      <c r="I188" s="1035"/>
      <c r="J188" s="1035"/>
      <c r="K188" s="1035"/>
      <c r="L188" s="1035"/>
      <c r="M188" s="1035"/>
      <c r="N188" s="1035"/>
      <c r="O188" s="1035"/>
      <c r="P188" s="1035"/>
      <c r="Q188" s="1035"/>
      <c r="R188" s="1035"/>
      <c r="S188" s="1035"/>
    </row>
    <row r="189" spans="1:19">
      <c r="A189" s="1044"/>
      <c r="B189" s="1027"/>
      <c r="C189" s="1035"/>
      <c r="D189" s="1042"/>
      <c r="E189" s="1042"/>
      <c r="F189" s="1042"/>
      <c r="G189" s="1042"/>
      <c r="H189" s="1042"/>
      <c r="I189" s="1042"/>
      <c r="J189" s="1042"/>
      <c r="K189" s="1042"/>
      <c r="L189" s="1042"/>
      <c r="M189" s="1035"/>
      <c r="N189" s="1035"/>
      <c r="O189" s="1035"/>
      <c r="P189" s="1035"/>
      <c r="Q189" s="1035"/>
      <c r="R189" s="1035"/>
      <c r="S189" s="1035"/>
    </row>
    <row r="190" spans="1:19">
      <c r="A190" s="1044">
        <f>+A188+1</f>
        <v>16</v>
      </c>
      <c r="B190" s="1024" t="s">
        <v>682</v>
      </c>
      <c r="C190" s="1035"/>
      <c r="D190" s="1042"/>
      <c r="E190" s="1042"/>
      <c r="F190" s="1042"/>
      <c r="G190" s="1042"/>
      <c r="H190" s="1042"/>
      <c r="I190" s="1042"/>
      <c r="J190" s="1042"/>
      <c r="K190" s="1042"/>
      <c r="L190" s="1042"/>
      <c r="M190" s="1035"/>
      <c r="N190" s="1035"/>
      <c r="O190" s="1035"/>
      <c r="P190" s="1035"/>
      <c r="Q190" s="1035"/>
      <c r="R190" s="1035"/>
      <c r="S190" s="1035"/>
    </row>
    <row r="191" spans="1:19">
      <c r="A191" s="1044"/>
      <c r="B191" s="1027"/>
      <c r="C191" s="1035"/>
      <c r="D191" s="1035"/>
      <c r="E191" s="1035"/>
      <c r="F191" s="1035"/>
      <c r="G191" s="1035"/>
      <c r="H191" s="1035"/>
      <c r="I191" s="1035"/>
      <c r="J191" s="1035"/>
      <c r="K191" s="1035"/>
      <c r="L191" s="1035"/>
      <c r="M191" s="1035"/>
      <c r="N191" s="1035"/>
      <c r="O191" s="1035"/>
      <c r="P191" s="1035"/>
      <c r="Q191" s="1035"/>
      <c r="R191" s="1035"/>
      <c r="S191" s="1035"/>
    </row>
    <row r="192" spans="1:19">
      <c r="A192" s="1044">
        <f>+A190+1</f>
        <v>17</v>
      </c>
      <c r="B192" s="1021" t="s">
        <v>683</v>
      </c>
      <c r="C192" s="1035"/>
      <c r="D192" s="1035"/>
      <c r="E192" s="1035"/>
      <c r="F192" s="1035"/>
      <c r="G192" s="1035"/>
      <c r="H192" s="1035"/>
      <c r="I192" s="1035"/>
      <c r="J192" s="1035"/>
      <c r="K192" s="1035"/>
      <c r="L192" s="1035"/>
      <c r="M192" s="1035"/>
      <c r="N192" s="1035"/>
      <c r="O192" s="1035"/>
      <c r="P192" s="1035"/>
      <c r="Q192" s="1035"/>
      <c r="R192" s="1035"/>
      <c r="S192" s="1035"/>
    </row>
    <row r="193" spans="1:19">
      <c r="A193" s="1044">
        <f>A192+1</f>
        <v>18</v>
      </c>
      <c r="B193" s="1021" t="s">
        <v>684</v>
      </c>
      <c r="C193" s="1035"/>
      <c r="D193" s="1035"/>
      <c r="E193" s="1035"/>
      <c r="F193" s="1035"/>
      <c r="G193" s="1035"/>
      <c r="H193" s="1035"/>
      <c r="I193" s="1035"/>
      <c r="J193" s="1035"/>
      <c r="K193" s="1035"/>
      <c r="L193" s="1035"/>
      <c r="M193" s="1035"/>
      <c r="N193" s="1035"/>
      <c r="O193" s="1035"/>
      <c r="P193" s="1035"/>
      <c r="Q193" s="1023"/>
      <c r="R193" s="1035"/>
      <c r="S193" s="1035"/>
    </row>
    <row r="194" spans="1:19">
      <c r="A194" s="1067">
        <f>A193+0.01</f>
        <v>18.010000000000002</v>
      </c>
      <c r="B194" s="1023"/>
      <c r="C194" s="1035">
        <f>SUM(M194:O194)</f>
        <v>0</v>
      </c>
      <c r="D194" s="1035">
        <f>SUM(Q194:S194)</f>
        <v>0</v>
      </c>
      <c r="E194" s="1035"/>
      <c r="F194" s="1035"/>
      <c r="G194" s="1035">
        <f>ROUND(SUM(C194:F194)/2,0)</f>
        <v>0</v>
      </c>
      <c r="H194" s="1035"/>
      <c r="I194" s="1035">
        <f t="shared" ref="I194:K195" si="24">(M194+Q194)/2</f>
        <v>0</v>
      </c>
      <c r="J194" s="1035">
        <f t="shared" si="24"/>
        <v>0</v>
      </c>
      <c r="K194" s="1035">
        <f t="shared" si="24"/>
        <v>0</v>
      </c>
      <c r="L194" s="1035"/>
      <c r="M194" s="1023"/>
      <c r="N194" s="1023"/>
      <c r="O194" s="1023"/>
      <c r="P194" s="1035"/>
      <c r="Q194" s="1023"/>
      <c r="R194" s="1023"/>
      <c r="S194" s="1023"/>
    </row>
    <row r="195" spans="1:19">
      <c r="A195" s="1067">
        <f>A194+0.01</f>
        <v>18.020000000000003</v>
      </c>
      <c r="B195" s="1023"/>
      <c r="C195" s="1035">
        <f>SUM(M195:O195)</f>
        <v>0</v>
      </c>
      <c r="D195" s="1035">
        <f>SUM(Q195:S195)</f>
        <v>0</v>
      </c>
      <c r="E195" s="1035"/>
      <c r="F195" s="1035"/>
      <c r="G195" s="1035">
        <f>ROUND(SUM(C195:F195)/2,0)</f>
        <v>0</v>
      </c>
      <c r="H195" s="1035"/>
      <c r="I195" s="1035">
        <f t="shared" si="24"/>
        <v>0</v>
      </c>
      <c r="J195" s="1035">
        <f t="shared" si="24"/>
        <v>0</v>
      </c>
      <c r="K195" s="1035">
        <f t="shared" si="24"/>
        <v>0</v>
      </c>
      <c r="L195" s="1035"/>
      <c r="M195" s="1023"/>
      <c r="N195" s="1023"/>
      <c r="O195" s="1023"/>
      <c r="P195" s="1035"/>
      <c r="Q195" s="1023"/>
      <c r="R195" s="1023"/>
      <c r="S195" s="1023"/>
    </row>
    <row r="196" spans="1:19">
      <c r="A196" s="1044">
        <f>INT(A195)+1</f>
        <v>19</v>
      </c>
      <c r="B196" s="1024"/>
      <c r="C196" s="1035"/>
      <c r="D196" s="1035"/>
      <c r="E196" s="1035"/>
      <c r="F196" s="1035"/>
      <c r="G196" s="1035"/>
      <c r="H196" s="1035"/>
      <c r="I196" s="1035"/>
      <c r="J196" s="1035"/>
      <c r="K196" s="1035"/>
      <c r="L196" s="1035"/>
      <c r="M196" s="1035"/>
      <c r="N196" s="1035"/>
      <c r="O196" s="1035"/>
      <c r="P196" s="1035"/>
      <c r="Q196" s="1035"/>
      <c r="R196" s="1035"/>
      <c r="S196" s="1035"/>
    </row>
    <row r="197" spans="1:19">
      <c r="A197" s="1044">
        <f>A196+1</f>
        <v>20</v>
      </c>
      <c r="B197" s="1021" t="s">
        <v>685</v>
      </c>
      <c r="C197" s="1037">
        <f>SUM(C194:C196)</f>
        <v>0</v>
      </c>
      <c r="D197" s="1037">
        <f>SUM(D194:D196)</f>
        <v>0</v>
      </c>
      <c r="E197" s="1037">
        <f>SUM(E194:E196)</f>
        <v>0</v>
      </c>
      <c r="F197" s="1037">
        <f>SUM(F194:F196)</f>
        <v>0</v>
      </c>
      <c r="G197" s="1037">
        <f>SUM(G194:G196)</f>
        <v>0</v>
      </c>
      <c r="H197" s="1035"/>
      <c r="I197" s="1037">
        <f>SUM(I194:I196)</f>
        <v>0</v>
      </c>
      <c r="J197" s="1037">
        <f>SUM(J194:J196)</f>
        <v>0</v>
      </c>
      <c r="K197" s="1037">
        <f>SUM(K194:K196)</f>
        <v>0</v>
      </c>
      <c r="L197" s="1035"/>
      <c r="M197" s="1037">
        <f>SUM(M194:M196)</f>
        <v>0</v>
      </c>
      <c r="N197" s="1037">
        <f>SUM(N194:N196)</f>
        <v>0</v>
      </c>
      <c r="O197" s="1037">
        <f>SUM(O194:O196)</f>
        <v>0</v>
      </c>
      <c r="P197" s="1035"/>
      <c r="Q197" s="1037">
        <f>SUM(Q194:Q196)</f>
        <v>0</v>
      </c>
      <c r="R197" s="1037">
        <f>SUM(R194:R196)</f>
        <v>0</v>
      </c>
      <c r="S197" s="1037">
        <f>SUM(S194:S196)</f>
        <v>0</v>
      </c>
    </row>
  </sheetData>
  <pageMargins left="0.7" right="0.7" top="0.75" bottom="0.75" header="0.3" footer="0.3"/>
  <pageSetup scale="31" orientation="portrait" r:id="rId1"/>
  <rowBreaks count="1" manualBreakCount="1">
    <brk id="72"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dimension ref="A1:IV111"/>
  <sheetViews>
    <sheetView view="pageBreakPreview" zoomScale="60" zoomScaleNormal="100" workbookViewId="0">
      <selection activeCell="C104" sqref="C104"/>
    </sheetView>
  </sheetViews>
  <sheetFormatPr defaultRowHeight="12.75"/>
  <cols>
    <col min="1" max="1" width="6" style="1016" customWidth="1"/>
    <col min="2" max="2" width="54.5703125" style="1016" bestFit="1" customWidth="1"/>
    <col min="3" max="3" width="13.42578125" style="1016" bestFit="1" customWidth="1"/>
    <col min="4" max="4" width="12.85546875" style="1016" bestFit="1" customWidth="1"/>
    <col min="5" max="6" width="17" style="1016" customWidth="1"/>
    <col min="7" max="7" width="15.28515625" style="1016" bestFit="1" customWidth="1"/>
    <col min="8" max="8" width="9.140625" style="1016"/>
    <col min="9" max="9" width="13.140625" style="1016" bestFit="1" customWidth="1"/>
    <col min="10" max="10" width="15" style="1016" bestFit="1" customWidth="1"/>
    <col min="11" max="11" width="13.5703125" style="1016" bestFit="1" customWidth="1"/>
    <col min="12" max="12" width="9.140625" style="1016"/>
    <col min="13" max="13" width="13.140625" style="1016" bestFit="1" customWidth="1"/>
    <col min="14" max="14" width="15" style="1016" bestFit="1" customWidth="1"/>
    <col min="15" max="15" width="13.5703125" style="1016" bestFit="1" customWidth="1"/>
    <col min="16" max="16" width="9.140625" style="1016"/>
    <col min="17" max="17" width="13.140625" style="1016" bestFit="1" customWidth="1"/>
    <col min="18" max="18" width="15" style="1016" bestFit="1" customWidth="1"/>
    <col min="19" max="19" width="13.5703125" style="1016" bestFit="1" customWidth="1"/>
    <col min="20" max="16384" width="9.140625" style="1016"/>
  </cols>
  <sheetData>
    <row r="1" spans="1:19">
      <c r="A1" s="1045"/>
      <c r="B1" s="1066" t="str">
        <f>TCOS!F9</f>
        <v>AEP Appalachian Transmission Company</v>
      </c>
      <c r="C1" s="1046"/>
      <c r="D1" s="1046"/>
      <c r="E1" s="1046"/>
      <c r="F1" s="1027"/>
      <c r="G1" s="1021"/>
      <c r="H1" s="1021"/>
      <c r="I1" s="1021"/>
      <c r="J1" s="1021"/>
      <c r="K1" s="1021"/>
      <c r="L1" s="1021"/>
      <c r="M1" s="1027"/>
      <c r="N1" s="1027"/>
      <c r="O1" s="1021"/>
      <c r="P1" s="1027"/>
      <c r="Q1" s="1027"/>
      <c r="R1" s="1027"/>
      <c r="S1" s="1021"/>
    </row>
    <row r="2" spans="1:19">
      <c r="A2" s="1045"/>
      <c r="B2" s="1026" t="s">
        <v>686</v>
      </c>
      <c r="C2" s="1046"/>
      <c r="D2" s="1046"/>
      <c r="E2" s="1046"/>
      <c r="F2" s="1046"/>
      <c r="G2" s="1020"/>
      <c r="H2" s="1020"/>
      <c r="I2" s="1020"/>
      <c r="J2" s="1020"/>
      <c r="K2" s="1020"/>
      <c r="L2" s="1020"/>
      <c r="M2" s="1027"/>
      <c r="N2" s="1027"/>
      <c r="O2" s="1020"/>
      <c r="P2" s="1027"/>
      <c r="Q2" s="1027"/>
      <c r="R2" s="1027"/>
      <c r="S2" s="1020"/>
    </row>
    <row r="3" spans="1:19">
      <c r="A3" s="1045"/>
      <c r="B3" s="1026" t="str">
        <f>"PERIOD ENDED DECEMBER 31, "&amp;TCOS!L4</f>
        <v>PERIOD ENDED DECEMBER 31, 2025</v>
      </c>
      <c r="C3" s="1046"/>
      <c r="D3" s="1046"/>
      <c r="E3" s="1046"/>
      <c r="F3" s="1046"/>
      <c r="G3" s="1046"/>
      <c r="H3" s="1046"/>
      <c r="I3" s="1046"/>
      <c r="J3" s="1046"/>
      <c r="K3" s="1046"/>
      <c r="L3" s="1046"/>
      <c r="M3" s="1027"/>
      <c r="N3" s="1027"/>
      <c r="O3" s="1027"/>
      <c r="P3" s="1027"/>
      <c r="Q3" s="1027"/>
      <c r="R3" s="1027"/>
      <c r="S3" s="1027"/>
    </row>
    <row r="4" spans="1:19">
      <c r="A4" s="1045"/>
      <c r="B4" s="1034"/>
      <c r="C4" s="1046"/>
      <c r="D4" s="1046"/>
      <c r="E4" s="1046"/>
      <c r="F4" s="1046"/>
      <c r="G4" s="1017" t="s">
        <v>687</v>
      </c>
      <c r="H4" s="1046"/>
      <c r="I4" s="1046"/>
      <c r="J4" s="1046"/>
      <c r="K4" s="1046"/>
      <c r="L4" s="1046"/>
      <c r="M4" s="1027"/>
      <c r="N4" s="1027"/>
      <c r="O4" s="1027"/>
      <c r="P4" s="1027"/>
      <c r="Q4" s="1027"/>
      <c r="R4" s="1027"/>
      <c r="S4" s="1027"/>
    </row>
    <row r="5" spans="1:19">
      <c r="A5" s="1045"/>
      <c r="B5" s="1028"/>
      <c r="C5" s="1046"/>
      <c r="D5" s="1046"/>
      <c r="E5" s="1046"/>
      <c r="F5" s="1046"/>
      <c r="G5" s="1046"/>
      <c r="H5" s="1046"/>
      <c r="I5" s="1046"/>
      <c r="J5" s="1046"/>
      <c r="K5" s="1046"/>
      <c r="L5" s="1046"/>
      <c r="M5" s="1027"/>
      <c r="N5" s="1027"/>
      <c r="O5" s="1027"/>
      <c r="P5" s="1027"/>
      <c r="Q5" s="1027"/>
      <c r="R5" s="1027"/>
      <c r="S5" s="1027"/>
    </row>
    <row r="6" spans="1:19">
      <c r="A6" s="1045"/>
      <c r="B6" s="1027"/>
      <c r="C6" s="1046"/>
      <c r="D6" s="1046"/>
      <c r="E6" s="1046"/>
      <c r="F6" s="1046"/>
      <c r="G6" s="1046"/>
      <c r="H6" s="1017"/>
      <c r="I6" s="1017"/>
      <c r="J6" s="1017"/>
      <c r="K6" s="1017"/>
      <c r="L6" s="1017"/>
      <c r="M6" s="1027"/>
      <c r="N6" s="1027"/>
      <c r="O6" s="1027"/>
      <c r="P6" s="1027"/>
      <c r="Q6" s="1027"/>
      <c r="R6" s="1027"/>
      <c r="S6" s="1027"/>
    </row>
    <row r="7" spans="1:19">
      <c r="A7" s="1045"/>
      <c r="B7" s="1027"/>
      <c r="C7" s="1046"/>
      <c r="D7" s="1046"/>
      <c r="E7" s="1046"/>
      <c r="F7" s="1046"/>
      <c r="G7" s="1046"/>
      <c r="H7" s="1046"/>
      <c r="I7" s="1046"/>
      <c r="J7" s="1046"/>
      <c r="K7" s="1046"/>
      <c r="L7" s="1046"/>
      <c r="M7" s="1027"/>
      <c r="N7" s="1027"/>
      <c r="O7" s="1027"/>
      <c r="P7" s="1027"/>
      <c r="Q7" s="1027"/>
      <c r="R7" s="1027"/>
      <c r="S7" s="1027"/>
    </row>
    <row r="8" spans="1:19">
      <c r="A8" s="1045"/>
      <c r="B8" s="1029" t="s">
        <v>643</v>
      </c>
      <c r="C8" s="1047" t="s">
        <v>644</v>
      </c>
      <c r="D8" s="1047" t="s">
        <v>645</v>
      </c>
      <c r="E8" s="1047" t="s">
        <v>646</v>
      </c>
      <c r="F8" s="1047" t="s">
        <v>647</v>
      </c>
      <c r="G8" s="1047" t="s">
        <v>648</v>
      </c>
      <c r="H8" s="1047"/>
      <c r="I8" s="1047" t="s">
        <v>649</v>
      </c>
      <c r="J8" s="1047" t="s">
        <v>650</v>
      </c>
      <c r="K8" s="1047" t="s">
        <v>651</v>
      </c>
      <c r="L8" s="1047"/>
      <c r="M8" s="1029" t="s">
        <v>652</v>
      </c>
      <c r="N8" s="1029" t="s">
        <v>653</v>
      </c>
      <c r="O8" s="1029" t="s">
        <v>654</v>
      </c>
      <c r="P8" s="1027"/>
      <c r="Q8" s="1029" t="s">
        <v>655</v>
      </c>
      <c r="R8" s="1029" t="s">
        <v>656</v>
      </c>
      <c r="S8" s="1029" t="s">
        <v>657</v>
      </c>
    </row>
    <row r="9" spans="1:19">
      <c r="A9" s="1045"/>
      <c r="B9" s="1027"/>
      <c r="C9" s="1046"/>
      <c r="D9" s="1046"/>
      <c r="E9" s="1046"/>
      <c r="F9" s="1046"/>
      <c r="G9" s="1046"/>
      <c r="H9" s="1046"/>
      <c r="I9" s="1046"/>
      <c r="J9" s="1046"/>
      <c r="K9" s="1046"/>
      <c r="L9" s="1046"/>
      <c r="M9" s="1027"/>
      <c r="N9" s="1027"/>
      <c r="O9" s="1027"/>
      <c r="P9" s="1027"/>
      <c r="Q9" s="1027"/>
      <c r="R9" s="1027"/>
      <c r="S9" s="1027"/>
    </row>
    <row r="10" spans="1:19">
      <c r="A10" s="1045"/>
      <c r="B10" s="1027"/>
      <c r="C10" s="1048" t="s">
        <v>658</v>
      </c>
      <c r="D10" s="1048"/>
      <c r="E10" s="1049" t="s">
        <v>659</v>
      </c>
      <c r="F10" s="1048"/>
      <c r="G10" s="1019" t="s">
        <v>660</v>
      </c>
      <c r="H10" s="1019"/>
      <c r="I10" s="1050" t="s">
        <v>661</v>
      </c>
      <c r="J10" s="1048"/>
      <c r="K10" s="1048"/>
      <c r="L10" s="1019"/>
      <c r="M10" s="1030" t="str">
        <f>"FUNCTIONALIZATION 12/31/"&amp;TCOS!L4-1</f>
        <v>FUNCTIONALIZATION 12/31/2024</v>
      </c>
      <c r="N10" s="1030"/>
      <c r="O10" s="1030"/>
      <c r="P10" s="1027"/>
      <c r="Q10" s="1030" t="str">
        <f>"FUNCTIONALIZATION 12/31/"&amp;TCOS!L4</f>
        <v>FUNCTIONALIZATION 12/31/2025</v>
      </c>
      <c r="R10" s="1030"/>
      <c r="S10" s="1030"/>
    </row>
    <row r="11" spans="1:19">
      <c r="A11" s="1045"/>
      <c r="B11" s="1027"/>
      <c r="C11" s="1051"/>
      <c r="D11" s="1051"/>
      <c r="E11" s="1046"/>
      <c r="F11" s="1046"/>
      <c r="G11" s="1019" t="s">
        <v>662</v>
      </c>
      <c r="H11" s="1019"/>
      <c r="I11" s="1051"/>
      <c r="J11" s="1051"/>
      <c r="K11" s="1051"/>
      <c r="L11" s="1019"/>
      <c r="M11" s="1033"/>
      <c r="N11" s="1033"/>
      <c r="O11" s="1033"/>
      <c r="P11" s="1027"/>
      <c r="Q11" s="1033"/>
      <c r="R11" s="1033"/>
      <c r="S11" s="1033"/>
    </row>
    <row r="12" spans="1:19">
      <c r="A12" s="1045"/>
      <c r="B12" s="1027"/>
      <c r="C12" s="1019" t="s">
        <v>663</v>
      </c>
      <c r="D12" s="1019" t="s">
        <v>663</v>
      </c>
      <c r="E12" s="1019" t="s">
        <v>663</v>
      </c>
      <c r="F12" s="1019" t="s">
        <v>663</v>
      </c>
      <c r="G12" s="1019" t="s">
        <v>664</v>
      </c>
      <c r="H12" s="1019"/>
      <c r="I12" s="1046"/>
      <c r="J12" s="1046"/>
      <c r="K12" s="1046"/>
      <c r="L12" s="1019"/>
      <c r="M12" s="1027"/>
      <c r="N12" s="1027"/>
      <c r="O12" s="1027"/>
      <c r="P12" s="1027"/>
      <c r="Q12" s="1027"/>
      <c r="R12" s="1027"/>
      <c r="S12" s="1027"/>
    </row>
    <row r="13" spans="1:19">
      <c r="A13" s="1045"/>
      <c r="B13" s="1029" t="s">
        <v>665</v>
      </c>
      <c r="C13" s="1047" t="str">
        <f>"OF 12-31-"&amp;TCOS!L4-1</f>
        <v>OF 12-31-2024</v>
      </c>
      <c r="D13" s="1047" t="str">
        <f>"OF 12-31-"&amp;TCOS!L4</f>
        <v>OF 12-31-2025</v>
      </c>
      <c r="E13" s="1047" t="str">
        <f>"OF 12-31-"&amp;TCOS!L4-1</f>
        <v>OF 12-31-2024</v>
      </c>
      <c r="F13" s="1047" t="str">
        <f>"OF 12-31-"&amp;TCOS!L4</f>
        <v>OF 12-31-2025</v>
      </c>
      <c r="G13" s="1047" t="s">
        <v>666</v>
      </c>
      <c r="H13" s="1047"/>
      <c r="I13" s="1047" t="s">
        <v>667</v>
      </c>
      <c r="J13" s="1047" t="s">
        <v>668</v>
      </c>
      <c r="K13" s="1047" t="s">
        <v>669</v>
      </c>
      <c r="L13" s="1047"/>
      <c r="M13" s="1029" t="s">
        <v>667</v>
      </c>
      <c r="N13" s="1029" t="s">
        <v>668</v>
      </c>
      <c r="O13" s="1029" t="s">
        <v>669</v>
      </c>
      <c r="P13" s="1027"/>
      <c r="Q13" s="1029" t="s">
        <v>667</v>
      </c>
      <c r="R13" s="1029" t="s">
        <v>668</v>
      </c>
      <c r="S13" s="1029" t="s">
        <v>669</v>
      </c>
    </row>
    <row r="14" spans="1:19">
      <c r="A14" s="1045"/>
      <c r="B14" s="1027"/>
      <c r="C14" s="1046"/>
      <c r="D14" s="1046"/>
      <c r="E14" s="1046"/>
      <c r="F14" s="1046"/>
      <c r="G14" s="1046"/>
      <c r="H14" s="1046"/>
      <c r="I14" s="1046"/>
      <c r="J14" s="1046"/>
      <c r="K14" s="1046"/>
      <c r="L14" s="1046"/>
      <c r="M14" s="1027"/>
      <c r="N14" s="1027"/>
      <c r="O14" s="1027"/>
      <c r="P14" s="1027"/>
      <c r="Q14" s="1027"/>
      <c r="R14" s="1027"/>
      <c r="S14" s="1027"/>
    </row>
    <row r="15" spans="1:19">
      <c r="A15" s="1052">
        <v>1</v>
      </c>
      <c r="B15" s="1040" t="s">
        <v>688</v>
      </c>
      <c r="C15" s="1035"/>
      <c r="D15" s="1035"/>
      <c r="E15" s="1035"/>
      <c r="F15" s="1036"/>
      <c r="G15" s="1035"/>
      <c r="H15" s="1035"/>
      <c r="I15" s="1035"/>
      <c r="J15" s="1035"/>
      <c r="K15" s="1035"/>
      <c r="L15" s="1035"/>
      <c r="M15" s="1035"/>
      <c r="N15" s="1035"/>
      <c r="O15" s="1035"/>
      <c r="P15" s="1035"/>
      <c r="Q15" s="1035"/>
      <c r="R15" s="1035"/>
      <c r="S15" s="1035"/>
    </row>
    <row r="16" spans="1:19">
      <c r="A16" s="1052"/>
      <c r="B16" s="1035"/>
      <c r="C16" s="1035"/>
      <c r="D16" s="1035"/>
      <c r="E16" s="1035"/>
      <c r="F16" s="1035"/>
      <c r="G16" s="1035"/>
      <c r="H16" s="1035"/>
      <c r="I16" s="1035"/>
      <c r="J16" s="1035"/>
      <c r="K16" s="1035"/>
      <c r="L16" s="1035"/>
      <c r="M16" s="1035"/>
      <c r="N16" s="1035"/>
      <c r="O16" s="1035"/>
      <c r="P16" s="1035"/>
      <c r="Q16" s="1035"/>
      <c r="R16" s="1035"/>
      <c r="S16" s="1035"/>
    </row>
    <row r="17" spans="1:19">
      <c r="A17" s="1058">
        <v>2.0099999999999998</v>
      </c>
      <c r="B17" s="1023"/>
      <c r="C17" s="1035">
        <f t="shared" ref="C17:C80" si="0">SUM(M17:O17)</f>
        <v>0</v>
      </c>
      <c r="D17" s="1035">
        <f t="shared" ref="D17:D80" si="1">SUM(Q17:S17)</f>
        <v>0</v>
      </c>
      <c r="E17" s="1035"/>
      <c r="F17" s="1035"/>
      <c r="G17" s="1035">
        <f t="shared" ref="G17:G80" si="2">ROUND(SUM(C17:F17)/2,0)</f>
        <v>0</v>
      </c>
      <c r="H17" s="1035"/>
      <c r="I17" s="1035">
        <f t="shared" ref="I17:K48" si="3">(M17+Q17)/2</f>
        <v>0</v>
      </c>
      <c r="J17" s="1035">
        <f t="shared" si="3"/>
        <v>0</v>
      </c>
      <c r="K17" s="1035">
        <f t="shared" si="3"/>
        <v>0</v>
      </c>
      <c r="L17" s="1035"/>
      <c r="M17" s="1023"/>
      <c r="N17" s="1023"/>
      <c r="O17" s="1023"/>
      <c r="P17" s="1035"/>
      <c r="Q17" s="1023"/>
      <c r="R17" s="1023"/>
      <c r="S17" s="1023"/>
    </row>
    <row r="18" spans="1:19">
      <c r="A18" s="1058">
        <f>A17+0.01</f>
        <v>2.0199999999999996</v>
      </c>
      <c r="B18" s="1023"/>
      <c r="C18" s="1035">
        <f t="shared" si="0"/>
        <v>0</v>
      </c>
      <c r="D18" s="1035">
        <f t="shared" si="1"/>
        <v>0</v>
      </c>
      <c r="E18" s="1035"/>
      <c r="F18" s="1035"/>
      <c r="G18" s="1035">
        <f t="shared" si="2"/>
        <v>0</v>
      </c>
      <c r="H18" s="1035"/>
      <c r="I18" s="1035">
        <f t="shared" si="3"/>
        <v>0</v>
      </c>
      <c r="J18" s="1035">
        <f t="shared" si="3"/>
        <v>0</v>
      </c>
      <c r="K18" s="1035">
        <f t="shared" si="3"/>
        <v>0</v>
      </c>
      <c r="L18" s="1035"/>
      <c r="M18" s="1023"/>
      <c r="N18" s="1023"/>
      <c r="O18" s="1023"/>
      <c r="P18" s="1035"/>
      <c r="Q18" s="1023"/>
      <c r="R18" s="1023"/>
      <c r="S18" s="1023"/>
    </row>
    <row r="19" spans="1:19">
      <c r="A19" s="1058">
        <f t="shared" ref="A19:A82" si="4">A18+0.01</f>
        <v>2.0299999999999994</v>
      </c>
      <c r="B19" s="1023"/>
      <c r="C19" s="1035">
        <f t="shared" si="0"/>
        <v>0</v>
      </c>
      <c r="D19" s="1035">
        <f t="shared" si="1"/>
        <v>0</v>
      </c>
      <c r="E19" s="1035"/>
      <c r="F19" s="1035"/>
      <c r="G19" s="1035">
        <f t="shared" si="2"/>
        <v>0</v>
      </c>
      <c r="H19" s="1035"/>
      <c r="I19" s="1035">
        <f t="shared" si="3"/>
        <v>0</v>
      </c>
      <c r="J19" s="1035">
        <f t="shared" si="3"/>
        <v>0</v>
      </c>
      <c r="K19" s="1035">
        <f t="shared" si="3"/>
        <v>0</v>
      </c>
      <c r="L19" s="1035"/>
      <c r="M19" s="1023"/>
      <c r="N19" s="1023"/>
      <c r="O19" s="1023"/>
      <c r="P19" s="1035"/>
      <c r="Q19" s="1023"/>
      <c r="R19" s="1023"/>
      <c r="S19" s="1023"/>
    </row>
    <row r="20" spans="1:19">
      <c r="A20" s="1058">
        <f t="shared" si="4"/>
        <v>2.0399999999999991</v>
      </c>
      <c r="B20" s="1023"/>
      <c r="C20" s="1035">
        <f t="shared" si="0"/>
        <v>0</v>
      </c>
      <c r="D20" s="1035">
        <f t="shared" si="1"/>
        <v>0</v>
      </c>
      <c r="E20" s="1035"/>
      <c r="F20" s="1035"/>
      <c r="G20" s="1035">
        <f t="shared" si="2"/>
        <v>0</v>
      </c>
      <c r="H20" s="1035"/>
      <c r="I20" s="1035">
        <f t="shared" si="3"/>
        <v>0</v>
      </c>
      <c r="J20" s="1035">
        <f t="shared" si="3"/>
        <v>0</v>
      </c>
      <c r="K20" s="1035">
        <f t="shared" si="3"/>
        <v>0</v>
      </c>
      <c r="L20" s="1035"/>
      <c r="M20" s="1023"/>
      <c r="N20" s="1023"/>
      <c r="O20" s="1023"/>
      <c r="P20" s="1035"/>
      <c r="Q20" s="1023"/>
      <c r="R20" s="1023"/>
      <c r="S20" s="1023"/>
    </row>
    <row r="21" spans="1:19">
      <c r="A21" s="1058">
        <f t="shared" si="4"/>
        <v>2.0499999999999989</v>
      </c>
      <c r="B21" s="1023"/>
      <c r="C21" s="1035">
        <f t="shared" si="0"/>
        <v>0</v>
      </c>
      <c r="D21" s="1035">
        <f t="shared" si="1"/>
        <v>0</v>
      </c>
      <c r="E21" s="1035"/>
      <c r="F21" s="1035"/>
      <c r="G21" s="1035">
        <f t="shared" si="2"/>
        <v>0</v>
      </c>
      <c r="H21" s="1035"/>
      <c r="I21" s="1035">
        <f t="shared" si="3"/>
        <v>0</v>
      </c>
      <c r="J21" s="1035">
        <f t="shared" si="3"/>
        <v>0</v>
      </c>
      <c r="K21" s="1035">
        <f t="shared" si="3"/>
        <v>0</v>
      </c>
      <c r="L21" s="1035"/>
      <c r="M21" s="1023"/>
      <c r="N21" s="1023"/>
      <c r="O21" s="1023"/>
      <c r="P21" s="1035"/>
      <c r="Q21" s="1023"/>
      <c r="R21" s="1023"/>
      <c r="S21" s="1023"/>
    </row>
    <row r="22" spans="1:19" hidden="1">
      <c r="A22" s="1058">
        <f t="shared" si="4"/>
        <v>2.0599999999999987</v>
      </c>
      <c r="B22" s="1023"/>
      <c r="C22" s="1035">
        <f t="shared" si="0"/>
        <v>0</v>
      </c>
      <c r="D22" s="1035">
        <f t="shared" si="1"/>
        <v>0</v>
      </c>
      <c r="E22" s="1035"/>
      <c r="F22" s="1035"/>
      <c r="G22" s="1035">
        <f t="shared" si="2"/>
        <v>0</v>
      </c>
      <c r="H22" s="1035"/>
      <c r="I22" s="1035">
        <f t="shared" si="3"/>
        <v>0</v>
      </c>
      <c r="J22" s="1035">
        <f t="shared" si="3"/>
        <v>0</v>
      </c>
      <c r="K22" s="1035">
        <f t="shared" si="3"/>
        <v>0</v>
      </c>
      <c r="L22" s="1035"/>
      <c r="M22" s="1023"/>
      <c r="N22" s="1023"/>
      <c r="O22" s="1023"/>
      <c r="P22" s="1035"/>
      <c r="Q22" s="1023"/>
      <c r="R22" s="1023"/>
      <c r="S22" s="1023"/>
    </row>
    <row r="23" spans="1:19" hidden="1">
      <c r="A23" s="1058">
        <f t="shared" si="4"/>
        <v>2.0699999999999985</v>
      </c>
      <c r="B23" s="1023"/>
      <c r="C23" s="1035">
        <f t="shared" si="0"/>
        <v>0</v>
      </c>
      <c r="D23" s="1035">
        <f t="shared" si="1"/>
        <v>0</v>
      </c>
      <c r="E23" s="1035"/>
      <c r="F23" s="1035"/>
      <c r="G23" s="1035">
        <f t="shared" si="2"/>
        <v>0</v>
      </c>
      <c r="H23" s="1035"/>
      <c r="I23" s="1035">
        <f t="shared" si="3"/>
        <v>0</v>
      </c>
      <c r="J23" s="1035">
        <f t="shared" si="3"/>
        <v>0</v>
      </c>
      <c r="K23" s="1035">
        <f t="shared" si="3"/>
        <v>0</v>
      </c>
      <c r="L23" s="1035"/>
      <c r="M23" s="1023"/>
      <c r="N23" s="1023"/>
      <c r="O23" s="1023"/>
      <c r="P23" s="1035"/>
      <c r="Q23" s="1023"/>
      <c r="R23" s="1023"/>
      <c r="S23" s="1023"/>
    </row>
    <row r="24" spans="1:19" hidden="1">
      <c r="A24" s="1058">
        <f t="shared" si="4"/>
        <v>2.0799999999999983</v>
      </c>
      <c r="B24" s="1023"/>
      <c r="C24" s="1035">
        <f t="shared" si="0"/>
        <v>0</v>
      </c>
      <c r="D24" s="1035">
        <f t="shared" si="1"/>
        <v>0</v>
      </c>
      <c r="E24" s="1035"/>
      <c r="F24" s="1035"/>
      <c r="G24" s="1035">
        <f t="shared" si="2"/>
        <v>0</v>
      </c>
      <c r="H24" s="1035"/>
      <c r="I24" s="1035">
        <f t="shared" si="3"/>
        <v>0</v>
      </c>
      <c r="J24" s="1035">
        <f t="shared" si="3"/>
        <v>0</v>
      </c>
      <c r="K24" s="1035">
        <f t="shared" si="3"/>
        <v>0</v>
      </c>
      <c r="L24" s="1035"/>
      <c r="M24" s="1023"/>
      <c r="N24" s="1023"/>
      <c r="O24" s="1023"/>
      <c r="P24" s="1035"/>
      <c r="Q24" s="1023"/>
      <c r="R24" s="1023"/>
      <c r="S24" s="1023"/>
    </row>
    <row r="25" spans="1:19" hidden="1">
      <c r="A25" s="1058">
        <f t="shared" si="4"/>
        <v>2.0899999999999981</v>
      </c>
      <c r="B25" s="1023"/>
      <c r="C25" s="1035">
        <f t="shared" si="0"/>
        <v>0</v>
      </c>
      <c r="D25" s="1035">
        <f t="shared" si="1"/>
        <v>0</v>
      </c>
      <c r="E25" s="1035"/>
      <c r="F25" s="1035"/>
      <c r="G25" s="1035">
        <f t="shared" si="2"/>
        <v>0</v>
      </c>
      <c r="H25" s="1035"/>
      <c r="I25" s="1035">
        <f t="shared" si="3"/>
        <v>0</v>
      </c>
      <c r="J25" s="1035">
        <f t="shared" si="3"/>
        <v>0</v>
      </c>
      <c r="K25" s="1035">
        <f t="shared" si="3"/>
        <v>0</v>
      </c>
      <c r="L25" s="1035"/>
      <c r="M25" s="1023"/>
      <c r="N25" s="1023"/>
      <c r="O25" s="1023"/>
      <c r="P25" s="1035"/>
      <c r="Q25" s="1023"/>
      <c r="R25" s="1023"/>
      <c r="S25" s="1023"/>
    </row>
    <row r="26" spans="1:19" hidden="1">
      <c r="A26" s="1058">
        <f t="shared" si="4"/>
        <v>2.0999999999999979</v>
      </c>
      <c r="B26" s="1023"/>
      <c r="C26" s="1035">
        <f t="shared" si="0"/>
        <v>0</v>
      </c>
      <c r="D26" s="1035">
        <f t="shared" si="1"/>
        <v>0</v>
      </c>
      <c r="E26" s="1035"/>
      <c r="F26" s="1035"/>
      <c r="G26" s="1035">
        <f t="shared" si="2"/>
        <v>0</v>
      </c>
      <c r="H26" s="1035"/>
      <c r="I26" s="1035">
        <f t="shared" si="3"/>
        <v>0</v>
      </c>
      <c r="J26" s="1035">
        <f t="shared" si="3"/>
        <v>0</v>
      </c>
      <c r="K26" s="1035">
        <f t="shared" si="3"/>
        <v>0</v>
      </c>
      <c r="L26" s="1035"/>
      <c r="M26" s="1023"/>
      <c r="N26" s="1023"/>
      <c r="O26" s="1023"/>
      <c r="P26" s="1035"/>
      <c r="Q26" s="1023"/>
      <c r="R26" s="1023"/>
      <c r="S26" s="1023"/>
    </row>
    <row r="27" spans="1:19" hidden="1">
      <c r="A27" s="1058">
        <f t="shared" si="4"/>
        <v>2.1099999999999977</v>
      </c>
      <c r="B27" s="1023"/>
      <c r="C27" s="1035">
        <f t="shared" si="0"/>
        <v>0</v>
      </c>
      <c r="D27" s="1035">
        <f t="shared" si="1"/>
        <v>0</v>
      </c>
      <c r="E27" s="1035"/>
      <c r="F27" s="1035"/>
      <c r="G27" s="1035">
        <f t="shared" si="2"/>
        <v>0</v>
      </c>
      <c r="H27" s="1035"/>
      <c r="I27" s="1035">
        <f t="shared" si="3"/>
        <v>0</v>
      </c>
      <c r="J27" s="1035">
        <f t="shared" si="3"/>
        <v>0</v>
      </c>
      <c r="K27" s="1035">
        <f t="shared" si="3"/>
        <v>0</v>
      </c>
      <c r="L27" s="1035"/>
      <c r="M27" s="1023"/>
      <c r="N27" s="1023"/>
      <c r="O27" s="1023"/>
      <c r="P27" s="1035"/>
      <c r="Q27" s="1023"/>
      <c r="R27" s="1023"/>
      <c r="S27" s="1023"/>
    </row>
    <row r="28" spans="1:19" hidden="1">
      <c r="A28" s="1058">
        <f t="shared" si="4"/>
        <v>2.1199999999999974</v>
      </c>
      <c r="B28" s="1023"/>
      <c r="C28" s="1035">
        <f t="shared" si="0"/>
        <v>0</v>
      </c>
      <c r="D28" s="1035">
        <f t="shared" si="1"/>
        <v>0</v>
      </c>
      <c r="E28" s="1035"/>
      <c r="F28" s="1035"/>
      <c r="G28" s="1035">
        <f t="shared" si="2"/>
        <v>0</v>
      </c>
      <c r="H28" s="1035"/>
      <c r="I28" s="1035">
        <f t="shared" si="3"/>
        <v>0</v>
      </c>
      <c r="J28" s="1035">
        <f t="shared" si="3"/>
        <v>0</v>
      </c>
      <c r="K28" s="1035">
        <f t="shared" si="3"/>
        <v>0</v>
      </c>
      <c r="L28" s="1035"/>
      <c r="M28" s="1023"/>
      <c r="N28" s="1023"/>
      <c r="O28" s="1023"/>
      <c r="P28" s="1035"/>
      <c r="Q28" s="1023"/>
      <c r="R28" s="1023"/>
      <c r="S28" s="1023"/>
    </row>
    <row r="29" spans="1:19" hidden="1">
      <c r="A29" s="1058">
        <f t="shared" si="4"/>
        <v>2.1299999999999972</v>
      </c>
      <c r="B29" s="1023"/>
      <c r="C29" s="1035">
        <f t="shared" si="0"/>
        <v>0</v>
      </c>
      <c r="D29" s="1035">
        <f t="shared" si="1"/>
        <v>0</v>
      </c>
      <c r="E29" s="1035"/>
      <c r="F29" s="1035"/>
      <c r="G29" s="1035">
        <f t="shared" si="2"/>
        <v>0</v>
      </c>
      <c r="H29" s="1035"/>
      <c r="I29" s="1035">
        <f t="shared" si="3"/>
        <v>0</v>
      </c>
      <c r="J29" s="1035">
        <f t="shared" si="3"/>
        <v>0</v>
      </c>
      <c r="K29" s="1035">
        <f t="shared" si="3"/>
        <v>0</v>
      </c>
      <c r="L29" s="1035"/>
      <c r="M29" s="1023"/>
      <c r="N29" s="1023"/>
      <c r="O29" s="1023"/>
      <c r="P29" s="1035"/>
      <c r="Q29" s="1023"/>
      <c r="R29" s="1023"/>
      <c r="S29" s="1023"/>
    </row>
    <row r="30" spans="1:19" hidden="1">
      <c r="A30" s="1058">
        <f t="shared" si="4"/>
        <v>2.139999999999997</v>
      </c>
      <c r="B30" s="1023"/>
      <c r="C30" s="1035">
        <f t="shared" si="0"/>
        <v>0</v>
      </c>
      <c r="D30" s="1035">
        <f t="shared" si="1"/>
        <v>0</v>
      </c>
      <c r="E30" s="1035"/>
      <c r="F30" s="1035"/>
      <c r="G30" s="1035">
        <f t="shared" si="2"/>
        <v>0</v>
      </c>
      <c r="H30" s="1035"/>
      <c r="I30" s="1035">
        <f t="shared" si="3"/>
        <v>0</v>
      </c>
      <c r="J30" s="1035">
        <f t="shared" si="3"/>
        <v>0</v>
      </c>
      <c r="K30" s="1035">
        <f t="shared" si="3"/>
        <v>0</v>
      </c>
      <c r="L30" s="1035"/>
      <c r="M30" s="1023"/>
      <c r="N30" s="1023"/>
      <c r="O30" s="1023"/>
      <c r="P30" s="1035"/>
      <c r="Q30" s="1023"/>
      <c r="R30" s="1023"/>
      <c r="S30" s="1023"/>
    </row>
    <row r="31" spans="1:19" hidden="1">
      <c r="A31" s="1058">
        <f t="shared" si="4"/>
        <v>2.1499999999999968</v>
      </c>
      <c r="B31" s="1023"/>
      <c r="C31" s="1035">
        <f t="shared" si="0"/>
        <v>0</v>
      </c>
      <c r="D31" s="1035">
        <f t="shared" si="1"/>
        <v>0</v>
      </c>
      <c r="E31" s="1035"/>
      <c r="F31" s="1035"/>
      <c r="G31" s="1035">
        <f t="shared" si="2"/>
        <v>0</v>
      </c>
      <c r="H31" s="1035"/>
      <c r="I31" s="1035">
        <f t="shared" si="3"/>
        <v>0</v>
      </c>
      <c r="J31" s="1035">
        <f t="shared" si="3"/>
        <v>0</v>
      </c>
      <c r="K31" s="1035">
        <f t="shared" si="3"/>
        <v>0</v>
      </c>
      <c r="L31" s="1035"/>
      <c r="M31" s="1023"/>
      <c r="N31" s="1023"/>
      <c r="O31" s="1023"/>
      <c r="P31" s="1035"/>
      <c r="Q31" s="1023"/>
      <c r="R31" s="1023"/>
      <c r="S31" s="1023"/>
    </row>
    <row r="32" spans="1:19" hidden="1">
      <c r="A32" s="1058">
        <f t="shared" si="4"/>
        <v>2.1599999999999966</v>
      </c>
      <c r="B32" s="1023"/>
      <c r="C32" s="1035">
        <f t="shared" si="0"/>
        <v>0</v>
      </c>
      <c r="D32" s="1035">
        <f t="shared" si="1"/>
        <v>0</v>
      </c>
      <c r="E32" s="1035"/>
      <c r="F32" s="1035"/>
      <c r="G32" s="1035">
        <f t="shared" si="2"/>
        <v>0</v>
      </c>
      <c r="H32" s="1035"/>
      <c r="I32" s="1035">
        <f t="shared" si="3"/>
        <v>0</v>
      </c>
      <c r="J32" s="1035">
        <f t="shared" si="3"/>
        <v>0</v>
      </c>
      <c r="K32" s="1035">
        <f t="shared" si="3"/>
        <v>0</v>
      </c>
      <c r="L32" s="1035"/>
      <c r="M32" s="1023"/>
      <c r="N32" s="1023"/>
      <c r="O32" s="1023"/>
      <c r="P32" s="1035"/>
      <c r="Q32" s="1023"/>
      <c r="R32" s="1023"/>
      <c r="S32" s="1023"/>
    </row>
    <row r="33" spans="1:19" hidden="1">
      <c r="A33" s="1058">
        <f t="shared" si="4"/>
        <v>2.1699999999999964</v>
      </c>
      <c r="B33" s="1023"/>
      <c r="C33" s="1035">
        <f t="shared" si="0"/>
        <v>0</v>
      </c>
      <c r="D33" s="1035">
        <f t="shared" si="1"/>
        <v>0</v>
      </c>
      <c r="E33" s="1035"/>
      <c r="F33" s="1035"/>
      <c r="G33" s="1035">
        <f t="shared" si="2"/>
        <v>0</v>
      </c>
      <c r="H33" s="1035"/>
      <c r="I33" s="1035">
        <f t="shared" si="3"/>
        <v>0</v>
      </c>
      <c r="J33" s="1035">
        <f t="shared" si="3"/>
        <v>0</v>
      </c>
      <c r="K33" s="1035">
        <f t="shared" si="3"/>
        <v>0</v>
      </c>
      <c r="L33" s="1035"/>
      <c r="M33" s="1023"/>
      <c r="N33" s="1023"/>
      <c r="O33" s="1023"/>
      <c r="P33" s="1035"/>
      <c r="Q33" s="1023"/>
      <c r="R33" s="1023"/>
      <c r="S33" s="1023"/>
    </row>
    <row r="34" spans="1:19" hidden="1">
      <c r="A34" s="1058">
        <f t="shared" si="4"/>
        <v>2.1799999999999962</v>
      </c>
      <c r="B34" s="1023"/>
      <c r="C34" s="1035">
        <f t="shared" si="0"/>
        <v>0</v>
      </c>
      <c r="D34" s="1035">
        <f t="shared" si="1"/>
        <v>0</v>
      </c>
      <c r="E34" s="1035"/>
      <c r="F34" s="1035"/>
      <c r="G34" s="1035">
        <f t="shared" si="2"/>
        <v>0</v>
      </c>
      <c r="H34" s="1035"/>
      <c r="I34" s="1035">
        <f t="shared" si="3"/>
        <v>0</v>
      </c>
      <c r="J34" s="1035">
        <f t="shared" si="3"/>
        <v>0</v>
      </c>
      <c r="K34" s="1035">
        <f t="shared" si="3"/>
        <v>0</v>
      </c>
      <c r="L34" s="1035"/>
      <c r="M34" s="1023"/>
      <c r="N34" s="1023"/>
      <c r="O34" s="1023"/>
      <c r="P34" s="1035"/>
      <c r="Q34" s="1023"/>
      <c r="R34" s="1023"/>
      <c r="S34" s="1023"/>
    </row>
    <row r="35" spans="1:19" hidden="1">
      <c r="A35" s="1058">
        <f t="shared" si="4"/>
        <v>2.1899999999999959</v>
      </c>
      <c r="B35" s="1023"/>
      <c r="C35" s="1035">
        <f t="shared" si="0"/>
        <v>0</v>
      </c>
      <c r="D35" s="1035">
        <f t="shared" si="1"/>
        <v>0</v>
      </c>
      <c r="E35" s="1035"/>
      <c r="F35" s="1035"/>
      <c r="G35" s="1035">
        <f t="shared" si="2"/>
        <v>0</v>
      </c>
      <c r="H35" s="1035"/>
      <c r="I35" s="1035">
        <f t="shared" si="3"/>
        <v>0</v>
      </c>
      <c r="J35" s="1035">
        <f t="shared" si="3"/>
        <v>0</v>
      </c>
      <c r="K35" s="1035">
        <f t="shared" si="3"/>
        <v>0</v>
      </c>
      <c r="L35" s="1035"/>
      <c r="M35" s="1023"/>
      <c r="N35" s="1023"/>
      <c r="O35" s="1023"/>
      <c r="P35" s="1035"/>
      <c r="Q35" s="1023"/>
      <c r="R35" s="1023"/>
      <c r="S35" s="1023"/>
    </row>
    <row r="36" spans="1:19" hidden="1">
      <c r="A36" s="1058">
        <f t="shared" si="4"/>
        <v>2.1999999999999957</v>
      </c>
      <c r="B36" s="1023"/>
      <c r="C36" s="1035">
        <f t="shared" si="0"/>
        <v>0</v>
      </c>
      <c r="D36" s="1035">
        <f t="shared" si="1"/>
        <v>0</v>
      </c>
      <c r="E36" s="1035"/>
      <c r="F36" s="1035"/>
      <c r="G36" s="1035">
        <f t="shared" si="2"/>
        <v>0</v>
      </c>
      <c r="H36" s="1035"/>
      <c r="I36" s="1035">
        <f t="shared" si="3"/>
        <v>0</v>
      </c>
      <c r="J36" s="1035">
        <f t="shared" si="3"/>
        <v>0</v>
      </c>
      <c r="K36" s="1035">
        <f t="shared" si="3"/>
        <v>0</v>
      </c>
      <c r="L36" s="1035"/>
      <c r="M36" s="1023"/>
      <c r="N36" s="1023"/>
      <c r="O36" s="1023"/>
      <c r="P36" s="1035"/>
      <c r="Q36" s="1023"/>
      <c r="R36" s="1023"/>
      <c r="S36" s="1023"/>
    </row>
    <row r="37" spans="1:19" hidden="1">
      <c r="A37" s="1058">
        <f t="shared" si="4"/>
        <v>2.2099999999999955</v>
      </c>
      <c r="B37" s="1023"/>
      <c r="C37" s="1035">
        <f t="shared" si="0"/>
        <v>0</v>
      </c>
      <c r="D37" s="1035">
        <f t="shared" si="1"/>
        <v>0</v>
      </c>
      <c r="E37" s="1035"/>
      <c r="F37" s="1035"/>
      <c r="G37" s="1035">
        <f t="shared" si="2"/>
        <v>0</v>
      </c>
      <c r="H37" s="1035"/>
      <c r="I37" s="1035">
        <f t="shared" si="3"/>
        <v>0</v>
      </c>
      <c r="J37" s="1035">
        <f t="shared" si="3"/>
        <v>0</v>
      </c>
      <c r="K37" s="1035">
        <f t="shared" si="3"/>
        <v>0</v>
      </c>
      <c r="L37" s="1035"/>
      <c r="M37" s="1023"/>
      <c r="N37" s="1023"/>
      <c r="O37" s="1023"/>
      <c r="P37" s="1035"/>
      <c r="Q37" s="1023"/>
      <c r="R37" s="1023"/>
      <c r="S37" s="1023"/>
    </row>
    <row r="38" spans="1:19" hidden="1">
      <c r="A38" s="1058">
        <f t="shared" si="4"/>
        <v>2.2199999999999953</v>
      </c>
      <c r="B38" s="1023"/>
      <c r="C38" s="1035">
        <f t="shared" si="0"/>
        <v>0</v>
      </c>
      <c r="D38" s="1035">
        <f t="shared" si="1"/>
        <v>0</v>
      </c>
      <c r="E38" s="1035"/>
      <c r="F38" s="1035"/>
      <c r="G38" s="1035">
        <f t="shared" si="2"/>
        <v>0</v>
      </c>
      <c r="H38" s="1035"/>
      <c r="I38" s="1035">
        <f t="shared" si="3"/>
        <v>0</v>
      </c>
      <c r="J38" s="1035">
        <f t="shared" si="3"/>
        <v>0</v>
      </c>
      <c r="K38" s="1035">
        <f t="shared" si="3"/>
        <v>0</v>
      </c>
      <c r="L38" s="1035"/>
      <c r="M38" s="1023"/>
      <c r="N38" s="1023"/>
      <c r="O38" s="1023"/>
      <c r="P38" s="1035"/>
      <c r="Q38" s="1023"/>
      <c r="R38" s="1023"/>
      <c r="S38" s="1023"/>
    </row>
    <row r="39" spans="1:19" hidden="1">
      <c r="A39" s="1058">
        <f t="shared" si="4"/>
        <v>2.2299999999999951</v>
      </c>
      <c r="B39" s="1023"/>
      <c r="C39" s="1035">
        <f t="shared" si="0"/>
        <v>0</v>
      </c>
      <c r="D39" s="1035">
        <f t="shared" si="1"/>
        <v>0</v>
      </c>
      <c r="E39" s="1035"/>
      <c r="F39" s="1035"/>
      <c r="G39" s="1035">
        <f t="shared" si="2"/>
        <v>0</v>
      </c>
      <c r="H39" s="1035"/>
      <c r="I39" s="1035">
        <f t="shared" si="3"/>
        <v>0</v>
      </c>
      <c r="J39" s="1035">
        <f t="shared" si="3"/>
        <v>0</v>
      </c>
      <c r="K39" s="1035">
        <f t="shared" si="3"/>
        <v>0</v>
      </c>
      <c r="L39" s="1035"/>
      <c r="M39" s="1023"/>
      <c r="N39" s="1023"/>
      <c r="O39" s="1023"/>
      <c r="P39" s="1035"/>
      <c r="Q39" s="1023"/>
      <c r="R39" s="1023"/>
      <c r="S39" s="1023"/>
    </row>
    <row r="40" spans="1:19" hidden="1">
      <c r="A40" s="1058">
        <f t="shared" si="4"/>
        <v>2.2399999999999949</v>
      </c>
      <c r="B40" s="1023"/>
      <c r="C40" s="1035">
        <f t="shared" si="0"/>
        <v>0</v>
      </c>
      <c r="D40" s="1035">
        <f t="shared" si="1"/>
        <v>0</v>
      </c>
      <c r="E40" s="1035"/>
      <c r="F40" s="1035"/>
      <c r="G40" s="1035">
        <f t="shared" si="2"/>
        <v>0</v>
      </c>
      <c r="H40" s="1035"/>
      <c r="I40" s="1035">
        <f t="shared" si="3"/>
        <v>0</v>
      </c>
      <c r="J40" s="1035">
        <f t="shared" si="3"/>
        <v>0</v>
      </c>
      <c r="K40" s="1035">
        <f t="shared" si="3"/>
        <v>0</v>
      </c>
      <c r="L40" s="1035"/>
      <c r="M40" s="1023"/>
      <c r="N40" s="1023"/>
      <c r="O40" s="1023"/>
      <c r="P40" s="1035"/>
      <c r="Q40" s="1023"/>
      <c r="R40" s="1023"/>
      <c r="S40" s="1023"/>
    </row>
    <row r="41" spans="1:19" hidden="1">
      <c r="A41" s="1058">
        <f t="shared" si="4"/>
        <v>2.2499999999999947</v>
      </c>
      <c r="B41" s="1023"/>
      <c r="C41" s="1035">
        <f t="shared" si="0"/>
        <v>0</v>
      </c>
      <c r="D41" s="1035">
        <f t="shared" si="1"/>
        <v>0</v>
      </c>
      <c r="E41" s="1035"/>
      <c r="F41" s="1035"/>
      <c r="G41" s="1035">
        <f t="shared" si="2"/>
        <v>0</v>
      </c>
      <c r="H41" s="1035"/>
      <c r="I41" s="1035">
        <f t="shared" si="3"/>
        <v>0</v>
      </c>
      <c r="J41" s="1035">
        <f t="shared" si="3"/>
        <v>0</v>
      </c>
      <c r="K41" s="1035">
        <f t="shared" si="3"/>
        <v>0</v>
      </c>
      <c r="L41" s="1035"/>
      <c r="M41" s="1023"/>
      <c r="N41" s="1023"/>
      <c r="O41" s="1023"/>
      <c r="P41" s="1035"/>
      <c r="Q41" s="1023"/>
      <c r="R41" s="1023"/>
      <c r="S41" s="1023"/>
    </row>
    <row r="42" spans="1:19" hidden="1">
      <c r="A42" s="1058">
        <f t="shared" si="4"/>
        <v>2.2599999999999945</v>
      </c>
      <c r="B42" s="1023"/>
      <c r="C42" s="1035">
        <f t="shared" si="0"/>
        <v>0</v>
      </c>
      <c r="D42" s="1035">
        <f t="shared" si="1"/>
        <v>0</v>
      </c>
      <c r="E42" s="1035"/>
      <c r="F42" s="1035"/>
      <c r="G42" s="1035">
        <f t="shared" si="2"/>
        <v>0</v>
      </c>
      <c r="H42" s="1035"/>
      <c r="I42" s="1035">
        <f t="shared" si="3"/>
        <v>0</v>
      </c>
      <c r="J42" s="1035">
        <f t="shared" si="3"/>
        <v>0</v>
      </c>
      <c r="K42" s="1035">
        <f t="shared" si="3"/>
        <v>0</v>
      </c>
      <c r="L42" s="1035"/>
      <c r="M42" s="1023"/>
      <c r="N42" s="1023"/>
      <c r="O42" s="1023"/>
      <c r="P42" s="1035"/>
      <c r="Q42" s="1023"/>
      <c r="R42" s="1023"/>
      <c r="S42" s="1023"/>
    </row>
    <row r="43" spans="1:19" hidden="1">
      <c r="A43" s="1058">
        <f t="shared" si="4"/>
        <v>2.2699999999999942</v>
      </c>
      <c r="B43" s="1023"/>
      <c r="C43" s="1035">
        <f t="shared" si="0"/>
        <v>0</v>
      </c>
      <c r="D43" s="1035">
        <f t="shared" si="1"/>
        <v>0</v>
      </c>
      <c r="E43" s="1035"/>
      <c r="F43" s="1035"/>
      <c r="G43" s="1035">
        <f t="shared" si="2"/>
        <v>0</v>
      </c>
      <c r="H43" s="1035"/>
      <c r="I43" s="1035">
        <f t="shared" si="3"/>
        <v>0</v>
      </c>
      <c r="J43" s="1035">
        <f t="shared" si="3"/>
        <v>0</v>
      </c>
      <c r="K43" s="1035">
        <f t="shared" si="3"/>
        <v>0</v>
      </c>
      <c r="L43" s="1035"/>
      <c r="M43" s="1023"/>
      <c r="N43" s="1023"/>
      <c r="O43" s="1023"/>
      <c r="P43" s="1035"/>
      <c r="Q43" s="1023"/>
      <c r="R43" s="1023"/>
      <c r="S43" s="1023"/>
    </row>
    <row r="44" spans="1:19" hidden="1">
      <c r="A44" s="1058">
        <f t="shared" si="4"/>
        <v>2.279999999999994</v>
      </c>
      <c r="B44" s="1023"/>
      <c r="C44" s="1035">
        <f t="shared" si="0"/>
        <v>0</v>
      </c>
      <c r="D44" s="1035">
        <f t="shared" si="1"/>
        <v>0</v>
      </c>
      <c r="E44" s="1035"/>
      <c r="F44" s="1035"/>
      <c r="G44" s="1035">
        <f t="shared" si="2"/>
        <v>0</v>
      </c>
      <c r="H44" s="1035"/>
      <c r="I44" s="1035">
        <f t="shared" si="3"/>
        <v>0</v>
      </c>
      <c r="J44" s="1035">
        <f t="shared" si="3"/>
        <v>0</v>
      </c>
      <c r="K44" s="1035">
        <f t="shared" si="3"/>
        <v>0</v>
      </c>
      <c r="L44" s="1035"/>
      <c r="M44" s="1023"/>
      <c r="N44" s="1023"/>
      <c r="O44" s="1023"/>
      <c r="P44" s="1035"/>
      <c r="Q44" s="1023"/>
      <c r="R44" s="1023"/>
      <c r="S44" s="1023"/>
    </row>
    <row r="45" spans="1:19" hidden="1">
      <c r="A45" s="1058">
        <f t="shared" si="4"/>
        <v>2.2899999999999938</v>
      </c>
      <c r="B45" s="1023"/>
      <c r="C45" s="1035">
        <f t="shared" si="0"/>
        <v>0</v>
      </c>
      <c r="D45" s="1035">
        <f t="shared" si="1"/>
        <v>0</v>
      </c>
      <c r="E45" s="1035"/>
      <c r="F45" s="1035"/>
      <c r="G45" s="1035">
        <f t="shared" si="2"/>
        <v>0</v>
      </c>
      <c r="H45" s="1035"/>
      <c r="I45" s="1035">
        <f t="shared" si="3"/>
        <v>0</v>
      </c>
      <c r="J45" s="1035">
        <f t="shared" si="3"/>
        <v>0</v>
      </c>
      <c r="K45" s="1035">
        <f t="shared" si="3"/>
        <v>0</v>
      </c>
      <c r="L45" s="1035"/>
      <c r="M45" s="1023"/>
      <c r="N45" s="1023"/>
      <c r="O45" s="1023"/>
      <c r="P45" s="1035"/>
      <c r="Q45" s="1023"/>
      <c r="R45" s="1023"/>
      <c r="S45" s="1023"/>
    </row>
    <row r="46" spans="1:19" hidden="1">
      <c r="A46" s="1058">
        <f t="shared" si="4"/>
        <v>2.2999999999999936</v>
      </c>
      <c r="B46" s="1023"/>
      <c r="C46" s="1035">
        <f t="shared" si="0"/>
        <v>0</v>
      </c>
      <c r="D46" s="1035">
        <f t="shared" si="1"/>
        <v>0</v>
      </c>
      <c r="E46" s="1035"/>
      <c r="F46" s="1035"/>
      <c r="G46" s="1035">
        <f t="shared" si="2"/>
        <v>0</v>
      </c>
      <c r="H46" s="1035"/>
      <c r="I46" s="1035">
        <f t="shared" si="3"/>
        <v>0</v>
      </c>
      <c r="J46" s="1035">
        <f t="shared" si="3"/>
        <v>0</v>
      </c>
      <c r="K46" s="1035">
        <f t="shared" si="3"/>
        <v>0</v>
      </c>
      <c r="L46" s="1035"/>
      <c r="M46" s="1023"/>
      <c r="N46" s="1023"/>
      <c r="O46" s="1023"/>
      <c r="P46" s="1035"/>
      <c r="Q46" s="1023"/>
      <c r="R46" s="1023"/>
      <c r="S46" s="1023"/>
    </row>
    <row r="47" spans="1:19" hidden="1">
      <c r="A47" s="1058">
        <f t="shared" si="4"/>
        <v>2.3099999999999934</v>
      </c>
      <c r="B47" s="1023"/>
      <c r="C47" s="1035">
        <f t="shared" si="0"/>
        <v>0</v>
      </c>
      <c r="D47" s="1035">
        <f t="shared" si="1"/>
        <v>0</v>
      </c>
      <c r="E47" s="1035"/>
      <c r="F47" s="1035"/>
      <c r="G47" s="1035">
        <f t="shared" si="2"/>
        <v>0</v>
      </c>
      <c r="H47" s="1035"/>
      <c r="I47" s="1035">
        <f t="shared" si="3"/>
        <v>0</v>
      </c>
      <c r="J47" s="1035">
        <f t="shared" si="3"/>
        <v>0</v>
      </c>
      <c r="K47" s="1035">
        <f t="shared" si="3"/>
        <v>0</v>
      </c>
      <c r="L47" s="1035"/>
      <c r="M47" s="1023"/>
      <c r="N47" s="1023"/>
      <c r="O47" s="1023"/>
      <c r="P47" s="1035"/>
      <c r="Q47" s="1023"/>
      <c r="R47" s="1023"/>
      <c r="S47" s="1023"/>
    </row>
    <row r="48" spans="1:19" hidden="1">
      <c r="A48" s="1058">
        <f t="shared" si="4"/>
        <v>2.3199999999999932</v>
      </c>
      <c r="B48" s="1023"/>
      <c r="C48" s="1035">
        <f t="shared" si="0"/>
        <v>0</v>
      </c>
      <c r="D48" s="1035">
        <f t="shared" si="1"/>
        <v>0</v>
      </c>
      <c r="E48" s="1035"/>
      <c r="F48" s="1035"/>
      <c r="G48" s="1035">
        <f t="shared" si="2"/>
        <v>0</v>
      </c>
      <c r="H48" s="1035"/>
      <c r="I48" s="1035">
        <f t="shared" si="3"/>
        <v>0</v>
      </c>
      <c r="J48" s="1035">
        <f t="shared" si="3"/>
        <v>0</v>
      </c>
      <c r="K48" s="1035">
        <f t="shared" si="3"/>
        <v>0</v>
      </c>
      <c r="L48" s="1035"/>
      <c r="M48" s="1023"/>
      <c r="N48" s="1023"/>
      <c r="O48" s="1023"/>
      <c r="P48" s="1035"/>
      <c r="Q48" s="1023"/>
      <c r="R48" s="1023"/>
      <c r="S48" s="1023"/>
    </row>
    <row r="49" spans="1:19" hidden="1">
      <c r="A49" s="1058">
        <f t="shared" si="4"/>
        <v>2.329999999999993</v>
      </c>
      <c r="B49" s="1023"/>
      <c r="C49" s="1035">
        <f t="shared" si="0"/>
        <v>0</v>
      </c>
      <c r="D49" s="1035">
        <f t="shared" si="1"/>
        <v>0</v>
      </c>
      <c r="E49" s="1035"/>
      <c r="F49" s="1035"/>
      <c r="G49" s="1035">
        <f t="shared" si="2"/>
        <v>0</v>
      </c>
      <c r="H49" s="1035"/>
      <c r="I49" s="1035">
        <f t="shared" ref="I49:K80" si="5">(M49+Q49)/2</f>
        <v>0</v>
      </c>
      <c r="J49" s="1035">
        <f t="shared" si="5"/>
        <v>0</v>
      </c>
      <c r="K49" s="1035">
        <f t="shared" si="5"/>
        <v>0</v>
      </c>
      <c r="L49" s="1035"/>
      <c r="M49" s="1023"/>
      <c r="N49" s="1023"/>
      <c r="O49" s="1023"/>
      <c r="P49" s="1035"/>
      <c r="Q49" s="1023"/>
      <c r="R49" s="1023"/>
      <c r="S49" s="1023"/>
    </row>
    <row r="50" spans="1:19" hidden="1">
      <c r="A50" s="1058">
        <f t="shared" si="4"/>
        <v>2.3399999999999928</v>
      </c>
      <c r="B50" s="1023"/>
      <c r="C50" s="1035">
        <f t="shared" si="0"/>
        <v>0</v>
      </c>
      <c r="D50" s="1035">
        <f t="shared" si="1"/>
        <v>0</v>
      </c>
      <c r="E50" s="1035"/>
      <c r="F50" s="1035"/>
      <c r="G50" s="1035">
        <f t="shared" si="2"/>
        <v>0</v>
      </c>
      <c r="H50" s="1035"/>
      <c r="I50" s="1035">
        <f t="shared" si="5"/>
        <v>0</v>
      </c>
      <c r="J50" s="1035">
        <f t="shared" si="5"/>
        <v>0</v>
      </c>
      <c r="K50" s="1035">
        <f t="shared" si="5"/>
        <v>0</v>
      </c>
      <c r="L50" s="1035"/>
      <c r="M50" s="1023"/>
      <c r="N50" s="1023"/>
      <c r="O50" s="1023"/>
      <c r="P50" s="1035"/>
      <c r="Q50" s="1023"/>
      <c r="R50" s="1023"/>
      <c r="S50" s="1023"/>
    </row>
    <row r="51" spans="1:19" hidden="1">
      <c r="A51" s="1058">
        <f t="shared" si="4"/>
        <v>2.3499999999999925</v>
      </c>
      <c r="B51" s="1023"/>
      <c r="C51" s="1035">
        <f t="shared" si="0"/>
        <v>0</v>
      </c>
      <c r="D51" s="1035">
        <f t="shared" si="1"/>
        <v>0</v>
      </c>
      <c r="E51" s="1035"/>
      <c r="F51" s="1035"/>
      <c r="G51" s="1035">
        <f t="shared" si="2"/>
        <v>0</v>
      </c>
      <c r="H51" s="1035"/>
      <c r="I51" s="1035">
        <f t="shared" si="5"/>
        <v>0</v>
      </c>
      <c r="J51" s="1035">
        <f t="shared" si="5"/>
        <v>0</v>
      </c>
      <c r="K51" s="1035">
        <f t="shared" si="5"/>
        <v>0</v>
      </c>
      <c r="L51" s="1035"/>
      <c r="M51" s="1023"/>
      <c r="N51" s="1023"/>
      <c r="O51" s="1023"/>
      <c r="P51" s="1035"/>
      <c r="Q51" s="1023"/>
      <c r="R51" s="1023"/>
      <c r="S51" s="1023"/>
    </row>
    <row r="52" spans="1:19" hidden="1">
      <c r="A52" s="1058">
        <f t="shared" si="4"/>
        <v>2.3599999999999923</v>
      </c>
      <c r="B52" s="1023"/>
      <c r="C52" s="1035">
        <f t="shared" si="0"/>
        <v>0</v>
      </c>
      <c r="D52" s="1035">
        <f t="shared" si="1"/>
        <v>0</v>
      </c>
      <c r="E52" s="1035"/>
      <c r="F52" s="1035"/>
      <c r="G52" s="1035">
        <f t="shared" si="2"/>
        <v>0</v>
      </c>
      <c r="H52" s="1035"/>
      <c r="I52" s="1035">
        <f t="shared" si="5"/>
        <v>0</v>
      </c>
      <c r="J52" s="1035">
        <f t="shared" si="5"/>
        <v>0</v>
      </c>
      <c r="K52" s="1035">
        <f t="shared" si="5"/>
        <v>0</v>
      </c>
      <c r="L52" s="1035"/>
      <c r="M52" s="1023"/>
      <c r="N52" s="1023"/>
      <c r="O52" s="1023"/>
      <c r="P52" s="1035"/>
      <c r="Q52" s="1023"/>
      <c r="R52" s="1023"/>
      <c r="S52" s="1023"/>
    </row>
    <row r="53" spans="1:19" hidden="1">
      <c r="A53" s="1058">
        <f t="shared" si="4"/>
        <v>2.3699999999999921</v>
      </c>
      <c r="B53" s="1023"/>
      <c r="C53" s="1035">
        <f t="shared" si="0"/>
        <v>0</v>
      </c>
      <c r="D53" s="1035">
        <f t="shared" si="1"/>
        <v>0</v>
      </c>
      <c r="E53" s="1035"/>
      <c r="F53" s="1035"/>
      <c r="G53" s="1035">
        <f t="shared" si="2"/>
        <v>0</v>
      </c>
      <c r="H53" s="1035"/>
      <c r="I53" s="1035">
        <f t="shared" si="5"/>
        <v>0</v>
      </c>
      <c r="J53" s="1035">
        <f t="shared" si="5"/>
        <v>0</v>
      </c>
      <c r="K53" s="1035">
        <f t="shared" si="5"/>
        <v>0</v>
      </c>
      <c r="L53" s="1035"/>
      <c r="M53" s="1023"/>
      <c r="N53" s="1023"/>
      <c r="O53" s="1023"/>
      <c r="P53" s="1035"/>
      <c r="Q53" s="1023"/>
      <c r="R53" s="1023"/>
      <c r="S53" s="1023"/>
    </row>
    <row r="54" spans="1:19" hidden="1">
      <c r="A54" s="1058">
        <f t="shared" si="4"/>
        <v>2.3799999999999919</v>
      </c>
      <c r="B54" s="1023"/>
      <c r="C54" s="1035">
        <f t="shared" si="0"/>
        <v>0</v>
      </c>
      <c r="D54" s="1035">
        <f t="shared" si="1"/>
        <v>0</v>
      </c>
      <c r="E54" s="1035"/>
      <c r="F54" s="1035"/>
      <c r="G54" s="1035">
        <f t="shared" si="2"/>
        <v>0</v>
      </c>
      <c r="H54" s="1035"/>
      <c r="I54" s="1035">
        <f t="shared" si="5"/>
        <v>0</v>
      </c>
      <c r="J54" s="1035">
        <f t="shared" si="5"/>
        <v>0</v>
      </c>
      <c r="K54" s="1035">
        <f t="shared" si="5"/>
        <v>0</v>
      </c>
      <c r="L54" s="1035"/>
      <c r="M54" s="1023"/>
      <c r="N54" s="1023"/>
      <c r="O54" s="1023"/>
      <c r="P54" s="1035"/>
      <c r="Q54" s="1023"/>
      <c r="R54" s="1023"/>
      <c r="S54" s="1023"/>
    </row>
    <row r="55" spans="1:19" hidden="1">
      <c r="A55" s="1058">
        <f t="shared" si="4"/>
        <v>2.3899999999999917</v>
      </c>
      <c r="B55" s="1023"/>
      <c r="C55" s="1035">
        <f t="shared" si="0"/>
        <v>0</v>
      </c>
      <c r="D55" s="1035">
        <f t="shared" si="1"/>
        <v>0</v>
      </c>
      <c r="E55" s="1035"/>
      <c r="F55" s="1035"/>
      <c r="G55" s="1035">
        <f t="shared" si="2"/>
        <v>0</v>
      </c>
      <c r="H55" s="1035"/>
      <c r="I55" s="1035">
        <f t="shared" si="5"/>
        <v>0</v>
      </c>
      <c r="J55" s="1035">
        <f t="shared" si="5"/>
        <v>0</v>
      </c>
      <c r="K55" s="1035">
        <f t="shared" si="5"/>
        <v>0</v>
      </c>
      <c r="L55" s="1035"/>
      <c r="M55" s="1023"/>
      <c r="N55" s="1023"/>
      <c r="O55" s="1023"/>
      <c r="P55" s="1035"/>
      <c r="Q55" s="1023"/>
      <c r="R55" s="1023"/>
      <c r="S55" s="1023"/>
    </row>
    <row r="56" spans="1:19" hidden="1">
      <c r="A56" s="1058">
        <f t="shared" si="4"/>
        <v>2.3999999999999915</v>
      </c>
      <c r="B56" s="1023"/>
      <c r="C56" s="1035">
        <f t="shared" si="0"/>
        <v>0</v>
      </c>
      <c r="D56" s="1035">
        <f t="shared" si="1"/>
        <v>0</v>
      </c>
      <c r="E56" s="1035"/>
      <c r="F56" s="1035"/>
      <c r="G56" s="1035">
        <f t="shared" si="2"/>
        <v>0</v>
      </c>
      <c r="H56" s="1035"/>
      <c r="I56" s="1035">
        <f t="shared" si="5"/>
        <v>0</v>
      </c>
      <c r="J56" s="1035">
        <f t="shared" si="5"/>
        <v>0</v>
      </c>
      <c r="K56" s="1035">
        <f t="shared" si="5"/>
        <v>0</v>
      </c>
      <c r="L56" s="1035"/>
      <c r="M56" s="1023"/>
      <c r="N56" s="1023"/>
      <c r="O56" s="1023"/>
      <c r="P56" s="1035"/>
      <c r="Q56" s="1023"/>
      <c r="R56" s="1023"/>
      <c r="S56" s="1023"/>
    </row>
    <row r="57" spans="1:19" hidden="1">
      <c r="A57" s="1058">
        <f t="shared" si="4"/>
        <v>2.4099999999999913</v>
      </c>
      <c r="B57" s="1023"/>
      <c r="C57" s="1035">
        <f t="shared" si="0"/>
        <v>0</v>
      </c>
      <c r="D57" s="1035">
        <f t="shared" si="1"/>
        <v>0</v>
      </c>
      <c r="E57" s="1035"/>
      <c r="F57" s="1035"/>
      <c r="G57" s="1035">
        <f t="shared" si="2"/>
        <v>0</v>
      </c>
      <c r="H57" s="1035"/>
      <c r="I57" s="1035">
        <f t="shared" si="5"/>
        <v>0</v>
      </c>
      <c r="J57" s="1035">
        <f t="shared" si="5"/>
        <v>0</v>
      </c>
      <c r="K57" s="1035">
        <f t="shared" si="5"/>
        <v>0</v>
      </c>
      <c r="L57" s="1035"/>
      <c r="M57" s="1023"/>
      <c r="N57" s="1023"/>
      <c r="O57" s="1023"/>
      <c r="P57" s="1035"/>
      <c r="Q57" s="1023"/>
      <c r="R57" s="1023"/>
      <c r="S57" s="1023"/>
    </row>
    <row r="58" spans="1:19" hidden="1">
      <c r="A58" s="1058">
        <f t="shared" si="4"/>
        <v>2.419999999999991</v>
      </c>
      <c r="B58" s="1023"/>
      <c r="C58" s="1035">
        <f t="shared" si="0"/>
        <v>0</v>
      </c>
      <c r="D58" s="1035">
        <f t="shared" si="1"/>
        <v>0</v>
      </c>
      <c r="E58" s="1035"/>
      <c r="F58" s="1035"/>
      <c r="G58" s="1035">
        <f t="shared" si="2"/>
        <v>0</v>
      </c>
      <c r="H58" s="1035"/>
      <c r="I58" s="1035">
        <f t="shared" si="5"/>
        <v>0</v>
      </c>
      <c r="J58" s="1035">
        <f t="shared" si="5"/>
        <v>0</v>
      </c>
      <c r="K58" s="1035">
        <f t="shared" si="5"/>
        <v>0</v>
      </c>
      <c r="L58" s="1035"/>
      <c r="M58" s="1023"/>
      <c r="N58" s="1023"/>
      <c r="O58" s="1023"/>
      <c r="P58" s="1035"/>
      <c r="Q58" s="1023"/>
      <c r="R58" s="1023"/>
      <c r="S58" s="1023"/>
    </row>
    <row r="59" spans="1:19" hidden="1">
      <c r="A59" s="1058">
        <f t="shared" si="4"/>
        <v>2.4299999999999908</v>
      </c>
      <c r="B59" s="1023"/>
      <c r="C59" s="1035">
        <f t="shared" si="0"/>
        <v>0</v>
      </c>
      <c r="D59" s="1035">
        <f t="shared" si="1"/>
        <v>0</v>
      </c>
      <c r="E59" s="1035"/>
      <c r="F59" s="1035"/>
      <c r="G59" s="1035">
        <f t="shared" si="2"/>
        <v>0</v>
      </c>
      <c r="H59" s="1035"/>
      <c r="I59" s="1035">
        <f t="shared" si="5"/>
        <v>0</v>
      </c>
      <c r="J59" s="1035">
        <f t="shared" si="5"/>
        <v>0</v>
      </c>
      <c r="K59" s="1035">
        <f t="shared" si="5"/>
        <v>0</v>
      </c>
      <c r="L59" s="1035"/>
      <c r="M59" s="1023"/>
      <c r="N59" s="1023"/>
      <c r="O59" s="1023"/>
      <c r="P59" s="1035"/>
      <c r="Q59" s="1023"/>
      <c r="R59" s="1023"/>
      <c r="S59" s="1023"/>
    </row>
    <row r="60" spans="1:19" hidden="1">
      <c r="A60" s="1058">
        <f t="shared" si="4"/>
        <v>2.4399999999999906</v>
      </c>
      <c r="B60" s="1023"/>
      <c r="C60" s="1035">
        <f t="shared" si="0"/>
        <v>0</v>
      </c>
      <c r="D60" s="1035">
        <f t="shared" si="1"/>
        <v>0</v>
      </c>
      <c r="E60" s="1035"/>
      <c r="F60" s="1035"/>
      <c r="G60" s="1035">
        <f t="shared" si="2"/>
        <v>0</v>
      </c>
      <c r="H60" s="1035"/>
      <c r="I60" s="1035">
        <f t="shared" si="5"/>
        <v>0</v>
      </c>
      <c r="J60" s="1035">
        <f t="shared" si="5"/>
        <v>0</v>
      </c>
      <c r="K60" s="1035">
        <f t="shared" si="5"/>
        <v>0</v>
      </c>
      <c r="L60" s="1035"/>
      <c r="M60" s="1023"/>
      <c r="N60" s="1023"/>
      <c r="O60" s="1023"/>
      <c r="P60" s="1035"/>
      <c r="Q60" s="1023"/>
      <c r="R60" s="1023"/>
      <c r="S60" s="1023"/>
    </row>
    <row r="61" spans="1:19" hidden="1">
      <c r="A61" s="1058">
        <f t="shared" si="4"/>
        <v>2.4499999999999904</v>
      </c>
      <c r="B61" s="1023"/>
      <c r="C61" s="1035">
        <f t="shared" si="0"/>
        <v>0</v>
      </c>
      <c r="D61" s="1035">
        <f t="shared" si="1"/>
        <v>0</v>
      </c>
      <c r="E61" s="1035"/>
      <c r="F61" s="1035"/>
      <c r="G61" s="1035">
        <f t="shared" si="2"/>
        <v>0</v>
      </c>
      <c r="H61" s="1035"/>
      <c r="I61" s="1035">
        <f t="shared" si="5"/>
        <v>0</v>
      </c>
      <c r="J61" s="1035">
        <f t="shared" si="5"/>
        <v>0</v>
      </c>
      <c r="K61" s="1035">
        <f t="shared" si="5"/>
        <v>0</v>
      </c>
      <c r="L61" s="1035"/>
      <c r="M61" s="1023"/>
      <c r="N61" s="1023"/>
      <c r="O61" s="1023"/>
      <c r="P61" s="1035"/>
      <c r="Q61" s="1023"/>
      <c r="R61" s="1023"/>
      <c r="S61" s="1023"/>
    </row>
    <row r="62" spans="1:19" hidden="1">
      <c r="A62" s="1058">
        <f t="shared" si="4"/>
        <v>2.4599999999999902</v>
      </c>
      <c r="B62" s="1023"/>
      <c r="C62" s="1035">
        <f t="shared" si="0"/>
        <v>0</v>
      </c>
      <c r="D62" s="1035">
        <f t="shared" si="1"/>
        <v>0</v>
      </c>
      <c r="E62" s="1035"/>
      <c r="F62" s="1035"/>
      <c r="G62" s="1035">
        <f t="shared" si="2"/>
        <v>0</v>
      </c>
      <c r="H62" s="1035"/>
      <c r="I62" s="1035">
        <f t="shared" si="5"/>
        <v>0</v>
      </c>
      <c r="J62" s="1035">
        <f t="shared" si="5"/>
        <v>0</v>
      </c>
      <c r="K62" s="1035">
        <f t="shared" si="5"/>
        <v>0</v>
      </c>
      <c r="L62" s="1035"/>
      <c r="M62" s="1023"/>
      <c r="N62" s="1023"/>
      <c r="O62" s="1023"/>
      <c r="P62" s="1035"/>
      <c r="Q62" s="1023"/>
      <c r="R62" s="1023"/>
      <c r="S62" s="1023"/>
    </row>
    <row r="63" spans="1:19" hidden="1">
      <c r="A63" s="1058">
        <f t="shared" si="4"/>
        <v>2.46999999999999</v>
      </c>
      <c r="B63" s="1023"/>
      <c r="C63" s="1035">
        <f t="shared" si="0"/>
        <v>0</v>
      </c>
      <c r="D63" s="1035">
        <f t="shared" si="1"/>
        <v>0</v>
      </c>
      <c r="E63" s="1035"/>
      <c r="F63" s="1035"/>
      <c r="G63" s="1035">
        <f t="shared" si="2"/>
        <v>0</v>
      </c>
      <c r="H63" s="1035"/>
      <c r="I63" s="1035">
        <f t="shared" si="5"/>
        <v>0</v>
      </c>
      <c r="J63" s="1035">
        <f t="shared" si="5"/>
        <v>0</v>
      </c>
      <c r="K63" s="1035">
        <f t="shared" si="5"/>
        <v>0</v>
      </c>
      <c r="L63" s="1035"/>
      <c r="M63" s="1023"/>
      <c r="N63" s="1023"/>
      <c r="O63" s="1023"/>
      <c r="P63" s="1035"/>
      <c r="Q63" s="1023"/>
      <c r="R63" s="1023"/>
      <c r="S63" s="1023"/>
    </row>
    <row r="64" spans="1:19" hidden="1">
      <c r="A64" s="1058">
        <f t="shared" si="4"/>
        <v>2.4799999999999898</v>
      </c>
      <c r="B64" s="1023"/>
      <c r="C64" s="1035">
        <f t="shared" si="0"/>
        <v>0</v>
      </c>
      <c r="D64" s="1035">
        <f t="shared" si="1"/>
        <v>0</v>
      </c>
      <c r="E64" s="1035"/>
      <c r="F64" s="1035"/>
      <c r="G64" s="1035">
        <f t="shared" si="2"/>
        <v>0</v>
      </c>
      <c r="H64" s="1035"/>
      <c r="I64" s="1035">
        <f t="shared" si="5"/>
        <v>0</v>
      </c>
      <c r="J64" s="1035">
        <f t="shared" si="5"/>
        <v>0</v>
      </c>
      <c r="K64" s="1035">
        <f t="shared" si="5"/>
        <v>0</v>
      </c>
      <c r="L64" s="1035"/>
      <c r="M64" s="1023"/>
      <c r="N64" s="1023"/>
      <c r="O64" s="1023"/>
      <c r="P64" s="1035"/>
      <c r="Q64" s="1023"/>
      <c r="R64" s="1023"/>
      <c r="S64" s="1023"/>
    </row>
    <row r="65" spans="1:19" hidden="1">
      <c r="A65" s="1058">
        <f t="shared" si="4"/>
        <v>2.4899999999999896</v>
      </c>
      <c r="B65" s="1023"/>
      <c r="C65" s="1035">
        <f t="shared" si="0"/>
        <v>0</v>
      </c>
      <c r="D65" s="1035">
        <f t="shared" si="1"/>
        <v>0</v>
      </c>
      <c r="E65" s="1035"/>
      <c r="F65" s="1035"/>
      <c r="G65" s="1035">
        <f t="shared" si="2"/>
        <v>0</v>
      </c>
      <c r="H65" s="1035"/>
      <c r="I65" s="1035">
        <f t="shared" si="5"/>
        <v>0</v>
      </c>
      <c r="J65" s="1035">
        <f t="shared" si="5"/>
        <v>0</v>
      </c>
      <c r="K65" s="1035">
        <f t="shared" si="5"/>
        <v>0</v>
      </c>
      <c r="L65" s="1035"/>
      <c r="M65" s="1023"/>
      <c r="N65" s="1023"/>
      <c r="O65" s="1023"/>
      <c r="P65" s="1035"/>
      <c r="Q65" s="1023"/>
      <c r="R65" s="1023"/>
      <c r="S65" s="1023"/>
    </row>
    <row r="66" spans="1:19" hidden="1">
      <c r="A66" s="1058">
        <f t="shared" si="4"/>
        <v>2.4999999999999893</v>
      </c>
      <c r="B66" s="1023"/>
      <c r="C66" s="1035">
        <f t="shared" si="0"/>
        <v>0</v>
      </c>
      <c r="D66" s="1035">
        <f t="shared" si="1"/>
        <v>0</v>
      </c>
      <c r="E66" s="1035"/>
      <c r="F66" s="1035"/>
      <c r="G66" s="1035">
        <f t="shared" si="2"/>
        <v>0</v>
      </c>
      <c r="H66" s="1035"/>
      <c r="I66" s="1035">
        <f t="shared" si="5"/>
        <v>0</v>
      </c>
      <c r="J66" s="1035">
        <f t="shared" si="5"/>
        <v>0</v>
      </c>
      <c r="K66" s="1035">
        <f t="shared" si="5"/>
        <v>0</v>
      </c>
      <c r="L66" s="1035"/>
      <c r="M66" s="1023"/>
      <c r="N66" s="1023"/>
      <c r="O66" s="1023"/>
      <c r="P66" s="1035"/>
      <c r="Q66" s="1023"/>
      <c r="R66" s="1023"/>
      <c r="S66" s="1023"/>
    </row>
    <row r="67" spans="1:19" hidden="1">
      <c r="A67" s="1058">
        <f t="shared" si="4"/>
        <v>2.5099999999999891</v>
      </c>
      <c r="B67" s="1023"/>
      <c r="C67" s="1035">
        <f t="shared" si="0"/>
        <v>0</v>
      </c>
      <c r="D67" s="1035">
        <f t="shared" si="1"/>
        <v>0</v>
      </c>
      <c r="E67" s="1035"/>
      <c r="F67" s="1035"/>
      <c r="G67" s="1035">
        <f t="shared" si="2"/>
        <v>0</v>
      </c>
      <c r="H67" s="1035"/>
      <c r="I67" s="1035">
        <f t="shared" si="5"/>
        <v>0</v>
      </c>
      <c r="J67" s="1035">
        <f t="shared" si="5"/>
        <v>0</v>
      </c>
      <c r="K67" s="1035">
        <f t="shared" si="5"/>
        <v>0</v>
      </c>
      <c r="L67" s="1035"/>
      <c r="M67" s="1023"/>
      <c r="N67" s="1023"/>
      <c r="O67" s="1023"/>
      <c r="P67" s="1035"/>
      <c r="Q67" s="1023"/>
      <c r="R67" s="1023"/>
      <c r="S67" s="1023"/>
    </row>
    <row r="68" spans="1:19" hidden="1">
      <c r="A68" s="1058">
        <f t="shared" si="4"/>
        <v>2.5199999999999889</v>
      </c>
      <c r="B68" s="1023"/>
      <c r="C68" s="1035">
        <f t="shared" si="0"/>
        <v>0</v>
      </c>
      <c r="D68" s="1035">
        <f t="shared" si="1"/>
        <v>0</v>
      </c>
      <c r="E68" s="1035"/>
      <c r="F68" s="1035"/>
      <c r="G68" s="1035">
        <f t="shared" si="2"/>
        <v>0</v>
      </c>
      <c r="H68" s="1035"/>
      <c r="I68" s="1035">
        <f t="shared" si="5"/>
        <v>0</v>
      </c>
      <c r="J68" s="1035">
        <f t="shared" si="5"/>
        <v>0</v>
      </c>
      <c r="K68" s="1035">
        <f t="shared" si="5"/>
        <v>0</v>
      </c>
      <c r="L68" s="1035"/>
      <c r="M68" s="1023"/>
      <c r="N68" s="1023"/>
      <c r="O68" s="1023"/>
      <c r="P68" s="1035"/>
      <c r="Q68" s="1023"/>
      <c r="R68" s="1023"/>
      <c r="S68" s="1023"/>
    </row>
    <row r="69" spans="1:19" hidden="1">
      <c r="A69" s="1058">
        <f t="shared" si="4"/>
        <v>2.5299999999999887</v>
      </c>
      <c r="B69" s="1023"/>
      <c r="C69" s="1035">
        <f t="shared" si="0"/>
        <v>0</v>
      </c>
      <c r="D69" s="1035">
        <f t="shared" si="1"/>
        <v>0</v>
      </c>
      <c r="E69" s="1035"/>
      <c r="F69" s="1035"/>
      <c r="G69" s="1035">
        <f t="shared" si="2"/>
        <v>0</v>
      </c>
      <c r="H69" s="1035"/>
      <c r="I69" s="1035">
        <f t="shared" si="5"/>
        <v>0</v>
      </c>
      <c r="J69" s="1035">
        <f t="shared" si="5"/>
        <v>0</v>
      </c>
      <c r="K69" s="1035">
        <f t="shared" si="5"/>
        <v>0</v>
      </c>
      <c r="L69" s="1035"/>
      <c r="M69" s="1023"/>
      <c r="N69" s="1023"/>
      <c r="O69" s="1023"/>
      <c r="P69" s="1035"/>
      <c r="Q69" s="1023"/>
      <c r="R69" s="1023"/>
      <c r="S69" s="1023"/>
    </row>
    <row r="70" spans="1:19" hidden="1">
      <c r="A70" s="1058">
        <f t="shared" si="4"/>
        <v>2.5399999999999885</v>
      </c>
      <c r="B70" s="1023"/>
      <c r="C70" s="1035">
        <f t="shared" si="0"/>
        <v>0</v>
      </c>
      <c r="D70" s="1035">
        <f t="shared" si="1"/>
        <v>0</v>
      </c>
      <c r="E70" s="1035"/>
      <c r="F70" s="1035"/>
      <c r="G70" s="1035">
        <f t="shared" si="2"/>
        <v>0</v>
      </c>
      <c r="H70" s="1035"/>
      <c r="I70" s="1035">
        <f t="shared" si="5"/>
        <v>0</v>
      </c>
      <c r="J70" s="1035">
        <f t="shared" si="5"/>
        <v>0</v>
      </c>
      <c r="K70" s="1035">
        <f t="shared" si="5"/>
        <v>0</v>
      </c>
      <c r="L70" s="1035"/>
      <c r="M70" s="1023"/>
      <c r="N70" s="1023"/>
      <c r="O70" s="1023"/>
      <c r="P70" s="1035"/>
      <c r="Q70" s="1023"/>
      <c r="R70" s="1023"/>
      <c r="S70" s="1023"/>
    </row>
    <row r="71" spans="1:19" hidden="1">
      <c r="A71" s="1058">
        <f t="shared" si="4"/>
        <v>2.5499999999999883</v>
      </c>
      <c r="B71" s="1023"/>
      <c r="C71" s="1035">
        <f t="shared" si="0"/>
        <v>0</v>
      </c>
      <c r="D71" s="1035">
        <f t="shared" si="1"/>
        <v>0</v>
      </c>
      <c r="E71" s="1035"/>
      <c r="F71" s="1035"/>
      <c r="G71" s="1035">
        <f t="shared" si="2"/>
        <v>0</v>
      </c>
      <c r="H71" s="1035"/>
      <c r="I71" s="1035">
        <f t="shared" si="5"/>
        <v>0</v>
      </c>
      <c r="J71" s="1035">
        <f t="shared" si="5"/>
        <v>0</v>
      </c>
      <c r="K71" s="1035">
        <f t="shared" si="5"/>
        <v>0</v>
      </c>
      <c r="L71" s="1035"/>
      <c r="M71" s="1023"/>
      <c r="N71" s="1023"/>
      <c r="O71" s="1023"/>
      <c r="P71" s="1035"/>
      <c r="Q71" s="1023"/>
      <c r="R71" s="1023"/>
      <c r="S71" s="1023"/>
    </row>
    <row r="72" spans="1:19" hidden="1">
      <c r="A72" s="1058">
        <f t="shared" si="4"/>
        <v>2.5599999999999881</v>
      </c>
      <c r="B72" s="1023"/>
      <c r="C72" s="1035">
        <f t="shared" si="0"/>
        <v>0</v>
      </c>
      <c r="D72" s="1035">
        <f t="shared" si="1"/>
        <v>0</v>
      </c>
      <c r="E72" s="1035"/>
      <c r="F72" s="1035"/>
      <c r="G72" s="1035">
        <f t="shared" si="2"/>
        <v>0</v>
      </c>
      <c r="H72" s="1035"/>
      <c r="I72" s="1035">
        <f t="shared" si="5"/>
        <v>0</v>
      </c>
      <c r="J72" s="1035">
        <f t="shared" si="5"/>
        <v>0</v>
      </c>
      <c r="K72" s="1035">
        <f t="shared" si="5"/>
        <v>0</v>
      </c>
      <c r="L72" s="1035"/>
      <c r="M72" s="1023"/>
      <c r="N72" s="1023"/>
      <c r="O72" s="1023"/>
      <c r="P72" s="1035"/>
      <c r="Q72" s="1023"/>
      <c r="R72" s="1023"/>
      <c r="S72" s="1023"/>
    </row>
    <row r="73" spans="1:19" hidden="1">
      <c r="A73" s="1058">
        <f t="shared" si="4"/>
        <v>2.5699999999999878</v>
      </c>
      <c r="B73" s="1023"/>
      <c r="C73" s="1035">
        <f t="shared" si="0"/>
        <v>0</v>
      </c>
      <c r="D73" s="1035">
        <f t="shared" si="1"/>
        <v>0</v>
      </c>
      <c r="E73" s="1035"/>
      <c r="F73" s="1035"/>
      <c r="G73" s="1035">
        <f t="shared" si="2"/>
        <v>0</v>
      </c>
      <c r="H73" s="1035"/>
      <c r="I73" s="1035">
        <f t="shared" si="5"/>
        <v>0</v>
      </c>
      <c r="J73" s="1035">
        <f t="shared" si="5"/>
        <v>0</v>
      </c>
      <c r="K73" s="1035">
        <f t="shared" si="5"/>
        <v>0</v>
      </c>
      <c r="L73" s="1035"/>
      <c r="M73" s="1023"/>
      <c r="N73" s="1023"/>
      <c r="O73" s="1023"/>
      <c r="P73" s="1035"/>
      <c r="Q73" s="1023"/>
      <c r="R73" s="1023"/>
      <c r="S73" s="1023"/>
    </row>
    <row r="74" spans="1:19" hidden="1">
      <c r="A74" s="1058">
        <f t="shared" si="4"/>
        <v>2.5799999999999876</v>
      </c>
      <c r="B74" s="1023"/>
      <c r="C74" s="1035">
        <f t="shared" si="0"/>
        <v>0</v>
      </c>
      <c r="D74" s="1035">
        <f t="shared" si="1"/>
        <v>0</v>
      </c>
      <c r="E74" s="1035"/>
      <c r="F74" s="1035"/>
      <c r="G74" s="1035">
        <f t="shared" si="2"/>
        <v>0</v>
      </c>
      <c r="H74" s="1035"/>
      <c r="I74" s="1035">
        <f t="shared" si="5"/>
        <v>0</v>
      </c>
      <c r="J74" s="1035">
        <f t="shared" si="5"/>
        <v>0</v>
      </c>
      <c r="K74" s="1035">
        <f t="shared" si="5"/>
        <v>0</v>
      </c>
      <c r="L74" s="1035"/>
      <c r="M74" s="1023"/>
      <c r="N74" s="1023"/>
      <c r="O74" s="1023"/>
      <c r="P74" s="1035"/>
      <c r="Q74" s="1023"/>
      <c r="R74" s="1023"/>
      <c r="S74" s="1023"/>
    </row>
    <row r="75" spans="1:19" hidden="1">
      <c r="A75" s="1058">
        <f t="shared" si="4"/>
        <v>2.5899999999999874</v>
      </c>
      <c r="B75" s="1023"/>
      <c r="C75" s="1035">
        <f t="shared" si="0"/>
        <v>0</v>
      </c>
      <c r="D75" s="1035">
        <f t="shared" si="1"/>
        <v>0</v>
      </c>
      <c r="E75" s="1035"/>
      <c r="F75" s="1035"/>
      <c r="G75" s="1035">
        <f t="shared" si="2"/>
        <v>0</v>
      </c>
      <c r="H75" s="1035"/>
      <c r="I75" s="1035">
        <f t="shared" si="5"/>
        <v>0</v>
      </c>
      <c r="J75" s="1035">
        <f t="shared" si="5"/>
        <v>0</v>
      </c>
      <c r="K75" s="1035">
        <f t="shared" si="5"/>
        <v>0</v>
      </c>
      <c r="L75" s="1035"/>
      <c r="M75" s="1023"/>
      <c r="N75" s="1023"/>
      <c r="O75" s="1023"/>
      <c r="P75" s="1035"/>
      <c r="Q75" s="1023"/>
      <c r="R75" s="1023"/>
      <c r="S75" s="1023"/>
    </row>
    <row r="76" spans="1:19" hidden="1">
      <c r="A76" s="1058">
        <f t="shared" si="4"/>
        <v>2.5999999999999872</v>
      </c>
      <c r="B76" s="1023"/>
      <c r="C76" s="1035">
        <f t="shared" si="0"/>
        <v>0</v>
      </c>
      <c r="D76" s="1035">
        <f t="shared" si="1"/>
        <v>0</v>
      </c>
      <c r="E76" s="1035"/>
      <c r="F76" s="1035"/>
      <c r="G76" s="1035">
        <f t="shared" si="2"/>
        <v>0</v>
      </c>
      <c r="H76" s="1035"/>
      <c r="I76" s="1035">
        <f t="shared" si="5"/>
        <v>0</v>
      </c>
      <c r="J76" s="1035">
        <f t="shared" si="5"/>
        <v>0</v>
      </c>
      <c r="K76" s="1035">
        <f t="shared" si="5"/>
        <v>0</v>
      </c>
      <c r="L76" s="1035"/>
      <c r="M76" s="1023"/>
      <c r="N76" s="1023"/>
      <c r="O76" s="1023"/>
      <c r="P76" s="1035"/>
      <c r="Q76" s="1023"/>
      <c r="R76" s="1023"/>
      <c r="S76" s="1023"/>
    </row>
    <row r="77" spans="1:19" hidden="1">
      <c r="A77" s="1058">
        <f t="shared" si="4"/>
        <v>2.609999999999987</v>
      </c>
      <c r="B77" s="1023"/>
      <c r="C77" s="1039">
        <f t="shared" si="0"/>
        <v>0</v>
      </c>
      <c r="D77" s="1039">
        <f t="shared" si="1"/>
        <v>0</v>
      </c>
      <c r="E77" s="1039"/>
      <c r="F77" s="1039"/>
      <c r="G77" s="1039">
        <f t="shared" si="2"/>
        <v>0</v>
      </c>
      <c r="H77" s="1039"/>
      <c r="I77" s="1039">
        <f t="shared" si="5"/>
        <v>0</v>
      </c>
      <c r="J77" s="1039">
        <f t="shared" si="5"/>
        <v>0</v>
      </c>
      <c r="K77" s="1039">
        <f t="shared" si="5"/>
        <v>0</v>
      </c>
      <c r="L77" s="1039"/>
      <c r="M77" s="1023"/>
      <c r="N77" s="1023"/>
      <c r="O77" s="1023"/>
      <c r="P77" s="1039"/>
      <c r="Q77" s="1023"/>
      <c r="R77" s="1023"/>
      <c r="S77" s="1023"/>
    </row>
    <row r="78" spans="1:19" hidden="1">
      <c r="A78" s="1058">
        <f t="shared" si="4"/>
        <v>2.6199999999999868</v>
      </c>
      <c r="B78" s="1023"/>
      <c r="C78" s="1039">
        <f t="shared" si="0"/>
        <v>0</v>
      </c>
      <c r="D78" s="1039">
        <f t="shared" si="1"/>
        <v>0</v>
      </c>
      <c r="E78" s="1039"/>
      <c r="F78" s="1039"/>
      <c r="G78" s="1039">
        <f t="shared" si="2"/>
        <v>0</v>
      </c>
      <c r="H78" s="1039"/>
      <c r="I78" s="1039">
        <f t="shared" si="5"/>
        <v>0</v>
      </c>
      <c r="J78" s="1039">
        <f t="shared" si="5"/>
        <v>0</v>
      </c>
      <c r="K78" s="1039">
        <f t="shared" si="5"/>
        <v>0</v>
      </c>
      <c r="L78" s="1039"/>
      <c r="M78" s="1023"/>
      <c r="N78" s="1023"/>
      <c r="O78" s="1023"/>
      <c r="P78" s="1039"/>
      <c r="Q78" s="1023"/>
      <c r="R78" s="1023"/>
      <c r="S78" s="1023"/>
    </row>
    <row r="79" spans="1:19" hidden="1">
      <c r="A79" s="1058">
        <f t="shared" si="4"/>
        <v>2.6299999999999866</v>
      </c>
      <c r="B79" s="1023"/>
      <c r="C79" s="1035">
        <f t="shared" si="0"/>
        <v>0</v>
      </c>
      <c r="D79" s="1035">
        <f t="shared" si="1"/>
        <v>0</v>
      </c>
      <c r="E79" s="1035"/>
      <c r="F79" s="1035"/>
      <c r="G79" s="1035">
        <f t="shared" si="2"/>
        <v>0</v>
      </c>
      <c r="H79" s="1035"/>
      <c r="I79" s="1035">
        <f t="shared" si="5"/>
        <v>0</v>
      </c>
      <c r="J79" s="1035">
        <f t="shared" si="5"/>
        <v>0</v>
      </c>
      <c r="K79" s="1035">
        <f t="shared" si="5"/>
        <v>0</v>
      </c>
      <c r="L79" s="1035"/>
      <c r="M79" s="1023"/>
      <c r="N79" s="1023"/>
      <c r="O79" s="1023"/>
      <c r="P79" s="1035"/>
      <c r="Q79" s="1023"/>
      <c r="R79" s="1023"/>
      <c r="S79" s="1023"/>
    </row>
    <row r="80" spans="1:19" hidden="1">
      <c r="A80" s="1058">
        <f t="shared" si="4"/>
        <v>2.6399999999999864</v>
      </c>
      <c r="B80" s="1023"/>
      <c r="C80" s="1035">
        <f t="shared" si="0"/>
        <v>0</v>
      </c>
      <c r="D80" s="1035">
        <f t="shared" si="1"/>
        <v>0</v>
      </c>
      <c r="E80" s="1035"/>
      <c r="F80" s="1035"/>
      <c r="G80" s="1035">
        <f t="shared" si="2"/>
        <v>0</v>
      </c>
      <c r="H80" s="1035"/>
      <c r="I80" s="1035">
        <f t="shared" si="5"/>
        <v>0</v>
      </c>
      <c r="J80" s="1035">
        <f t="shared" si="5"/>
        <v>0</v>
      </c>
      <c r="K80" s="1035">
        <f t="shared" si="5"/>
        <v>0</v>
      </c>
      <c r="L80" s="1035"/>
      <c r="M80" s="1023"/>
      <c r="N80" s="1023"/>
      <c r="O80" s="1023"/>
      <c r="P80" s="1035"/>
      <c r="Q80" s="1023"/>
      <c r="R80" s="1023"/>
      <c r="S80" s="1023"/>
    </row>
    <row r="81" spans="1:19" hidden="1">
      <c r="A81" s="1058">
        <f t="shared" si="4"/>
        <v>2.6499999999999861</v>
      </c>
      <c r="B81" s="1023"/>
      <c r="C81" s="1035">
        <f t="shared" ref="C81:C95" si="6">SUM(M81:O81)</f>
        <v>0</v>
      </c>
      <c r="D81" s="1035">
        <f t="shared" ref="D81:D95" si="7">SUM(Q81:S81)</f>
        <v>0</v>
      </c>
      <c r="E81" s="1035"/>
      <c r="F81" s="1035"/>
      <c r="G81" s="1035">
        <f t="shared" ref="G81:G107" si="8">ROUND(SUM(C81:F81)/2,0)</f>
        <v>0</v>
      </c>
      <c r="H81" s="1035"/>
      <c r="I81" s="1035">
        <f t="shared" ref="I81:K95" si="9">(M81+Q81)/2</f>
        <v>0</v>
      </c>
      <c r="J81" s="1035">
        <f t="shared" si="9"/>
        <v>0</v>
      </c>
      <c r="K81" s="1035">
        <f t="shared" si="9"/>
        <v>0</v>
      </c>
      <c r="L81" s="1035"/>
      <c r="M81" s="1023"/>
      <c r="N81" s="1023"/>
      <c r="O81" s="1023"/>
      <c r="P81" s="1035"/>
      <c r="Q81" s="1023"/>
      <c r="R81" s="1023"/>
      <c r="S81" s="1023"/>
    </row>
    <row r="82" spans="1:19" hidden="1">
      <c r="A82" s="1058">
        <f t="shared" si="4"/>
        <v>2.6599999999999859</v>
      </c>
      <c r="B82" s="1023"/>
      <c r="C82" s="1035">
        <f t="shared" si="6"/>
        <v>0</v>
      </c>
      <c r="D82" s="1035">
        <f t="shared" si="7"/>
        <v>0</v>
      </c>
      <c r="E82" s="1035"/>
      <c r="F82" s="1035"/>
      <c r="G82" s="1035">
        <f t="shared" si="8"/>
        <v>0</v>
      </c>
      <c r="H82" s="1035"/>
      <c r="I82" s="1035">
        <f t="shared" si="9"/>
        <v>0</v>
      </c>
      <c r="J82" s="1035">
        <f t="shared" si="9"/>
        <v>0</v>
      </c>
      <c r="K82" s="1035">
        <f t="shared" si="9"/>
        <v>0</v>
      </c>
      <c r="L82" s="1035"/>
      <c r="M82" s="1023"/>
      <c r="N82" s="1023"/>
      <c r="O82" s="1023"/>
      <c r="P82" s="1035"/>
      <c r="Q82" s="1023"/>
      <c r="R82" s="1023"/>
      <c r="S82" s="1023"/>
    </row>
    <row r="83" spans="1:19" hidden="1">
      <c r="A83" s="1058">
        <f t="shared" ref="A83:A107" si="10">A82+0.01</f>
        <v>2.6699999999999857</v>
      </c>
      <c r="B83" s="1023"/>
      <c r="C83" s="1035">
        <f t="shared" si="6"/>
        <v>0</v>
      </c>
      <c r="D83" s="1035">
        <f t="shared" si="7"/>
        <v>0</v>
      </c>
      <c r="E83" s="1035"/>
      <c r="F83" s="1035"/>
      <c r="G83" s="1035">
        <f t="shared" si="8"/>
        <v>0</v>
      </c>
      <c r="H83" s="1035"/>
      <c r="I83" s="1035">
        <f t="shared" si="9"/>
        <v>0</v>
      </c>
      <c r="J83" s="1035">
        <f t="shared" si="9"/>
        <v>0</v>
      </c>
      <c r="K83" s="1035">
        <f t="shared" si="9"/>
        <v>0</v>
      </c>
      <c r="L83" s="1035"/>
      <c r="M83" s="1023"/>
      <c r="N83" s="1023"/>
      <c r="O83" s="1023"/>
      <c r="P83" s="1035"/>
      <c r="Q83" s="1023"/>
      <c r="R83" s="1023"/>
      <c r="S83" s="1023"/>
    </row>
    <row r="84" spans="1:19" hidden="1">
      <c r="A84" s="1058">
        <f t="shared" si="10"/>
        <v>2.6799999999999855</v>
      </c>
      <c r="B84" s="1023"/>
      <c r="C84" s="1035">
        <f t="shared" si="6"/>
        <v>0</v>
      </c>
      <c r="D84" s="1035">
        <f t="shared" si="7"/>
        <v>0</v>
      </c>
      <c r="E84" s="1035"/>
      <c r="F84" s="1035"/>
      <c r="G84" s="1035">
        <f t="shared" si="8"/>
        <v>0</v>
      </c>
      <c r="H84" s="1035"/>
      <c r="I84" s="1035">
        <f t="shared" si="9"/>
        <v>0</v>
      </c>
      <c r="J84" s="1035">
        <f t="shared" si="9"/>
        <v>0</v>
      </c>
      <c r="K84" s="1035">
        <f t="shared" si="9"/>
        <v>0</v>
      </c>
      <c r="L84" s="1035"/>
      <c r="M84" s="1023"/>
      <c r="N84" s="1023"/>
      <c r="O84" s="1023"/>
      <c r="P84" s="1035"/>
      <c r="Q84" s="1023"/>
      <c r="R84" s="1023"/>
      <c r="S84" s="1023"/>
    </row>
    <row r="85" spans="1:19" hidden="1">
      <c r="A85" s="1058">
        <f t="shared" si="10"/>
        <v>2.6899999999999853</v>
      </c>
      <c r="B85" s="1023"/>
      <c r="C85" s="1035">
        <f t="shared" si="6"/>
        <v>0</v>
      </c>
      <c r="D85" s="1035">
        <f t="shared" si="7"/>
        <v>0</v>
      </c>
      <c r="E85" s="1035"/>
      <c r="F85" s="1035"/>
      <c r="G85" s="1035">
        <f t="shared" si="8"/>
        <v>0</v>
      </c>
      <c r="H85" s="1035"/>
      <c r="I85" s="1035">
        <f t="shared" si="9"/>
        <v>0</v>
      </c>
      <c r="J85" s="1035">
        <f t="shared" si="9"/>
        <v>0</v>
      </c>
      <c r="K85" s="1035">
        <f t="shared" si="9"/>
        <v>0</v>
      </c>
      <c r="L85" s="1035"/>
      <c r="M85" s="1023"/>
      <c r="N85" s="1023"/>
      <c r="O85" s="1023"/>
      <c r="P85" s="1035"/>
      <c r="Q85" s="1023"/>
      <c r="R85" s="1023"/>
      <c r="S85" s="1023"/>
    </row>
    <row r="86" spans="1:19" hidden="1">
      <c r="A86" s="1058">
        <f t="shared" si="10"/>
        <v>2.6999999999999851</v>
      </c>
      <c r="B86" s="1023"/>
      <c r="C86" s="1035">
        <f t="shared" si="6"/>
        <v>0</v>
      </c>
      <c r="D86" s="1035">
        <f t="shared" si="7"/>
        <v>0</v>
      </c>
      <c r="E86" s="1035"/>
      <c r="F86" s="1035"/>
      <c r="G86" s="1035">
        <f t="shared" si="8"/>
        <v>0</v>
      </c>
      <c r="H86" s="1035"/>
      <c r="I86" s="1035">
        <f t="shared" si="9"/>
        <v>0</v>
      </c>
      <c r="J86" s="1035">
        <f t="shared" si="9"/>
        <v>0</v>
      </c>
      <c r="K86" s="1035">
        <f t="shared" si="9"/>
        <v>0</v>
      </c>
      <c r="L86" s="1035"/>
      <c r="M86" s="1023"/>
      <c r="N86" s="1023"/>
      <c r="O86" s="1023"/>
      <c r="P86" s="1035"/>
      <c r="Q86" s="1023"/>
      <c r="R86" s="1023"/>
      <c r="S86" s="1023"/>
    </row>
    <row r="87" spans="1:19" hidden="1">
      <c r="A87" s="1058">
        <f t="shared" si="10"/>
        <v>2.7099999999999849</v>
      </c>
      <c r="B87" s="1023"/>
      <c r="C87" s="1035">
        <f t="shared" si="6"/>
        <v>0</v>
      </c>
      <c r="D87" s="1035">
        <f t="shared" si="7"/>
        <v>0</v>
      </c>
      <c r="E87" s="1035"/>
      <c r="F87" s="1035"/>
      <c r="G87" s="1035">
        <f t="shared" si="8"/>
        <v>0</v>
      </c>
      <c r="H87" s="1035"/>
      <c r="I87" s="1035">
        <f t="shared" si="9"/>
        <v>0</v>
      </c>
      <c r="J87" s="1035">
        <f t="shared" si="9"/>
        <v>0</v>
      </c>
      <c r="K87" s="1035">
        <f t="shared" si="9"/>
        <v>0</v>
      </c>
      <c r="L87" s="1035"/>
      <c r="M87" s="1023"/>
      <c r="N87" s="1023"/>
      <c r="O87" s="1023"/>
      <c r="P87" s="1035"/>
      <c r="Q87" s="1023"/>
      <c r="R87" s="1023"/>
      <c r="S87" s="1023"/>
    </row>
    <row r="88" spans="1:19" hidden="1">
      <c r="A88" s="1058">
        <f t="shared" si="10"/>
        <v>2.7199999999999847</v>
      </c>
      <c r="B88" s="1023"/>
      <c r="C88" s="1035">
        <f t="shared" si="6"/>
        <v>0</v>
      </c>
      <c r="D88" s="1035">
        <f t="shared" si="7"/>
        <v>0</v>
      </c>
      <c r="E88" s="1035"/>
      <c r="F88" s="1035"/>
      <c r="G88" s="1035">
        <f t="shared" si="8"/>
        <v>0</v>
      </c>
      <c r="H88" s="1035"/>
      <c r="I88" s="1035">
        <f t="shared" si="9"/>
        <v>0</v>
      </c>
      <c r="J88" s="1035">
        <f t="shared" si="9"/>
        <v>0</v>
      </c>
      <c r="K88" s="1035">
        <f t="shared" si="9"/>
        <v>0</v>
      </c>
      <c r="L88" s="1035"/>
      <c r="M88" s="1023"/>
      <c r="N88" s="1023"/>
      <c r="O88" s="1023"/>
      <c r="P88" s="1035"/>
      <c r="Q88" s="1023"/>
      <c r="R88" s="1023"/>
      <c r="S88" s="1023"/>
    </row>
    <row r="89" spans="1:19" hidden="1">
      <c r="A89" s="1058">
        <f t="shared" si="10"/>
        <v>2.7299999999999844</v>
      </c>
      <c r="B89" s="1023"/>
      <c r="C89" s="1035">
        <f t="shared" si="6"/>
        <v>0</v>
      </c>
      <c r="D89" s="1035">
        <f t="shared" si="7"/>
        <v>0</v>
      </c>
      <c r="E89" s="1035"/>
      <c r="F89" s="1035"/>
      <c r="G89" s="1035">
        <f t="shared" si="8"/>
        <v>0</v>
      </c>
      <c r="H89" s="1035"/>
      <c r="I89" s="1035">
        <f t="shared" si="9"/>
        <v>0</v>
      </c>
      <c r="J89" s="1035">
        <f t="shared" si="9"/>
        <v>0</v>
      </c>
      <c r="K89" s="1035">
        <f t="shared" si="9"/>
        <v>0</v>
      </c>
      <c r="L89" s="1035"/>
      <c r="M89" s="1023"/>
      <c r="N89" s="1023"/>
      <c r="O89" s="1023"/>
      <c r="P89" s="1035"/>
      <c r="Q89" s="1023"/>
      <c r="R89" s="1023"/>
      <c r="S89" s="1023"/>
    </row>
    <row r="90" spans="1:19" hidden="1">
      <c r="A90" s="1058">
        <f t="shared" si="10"/>
        <v>2.7399999999999842</v>
      </c>
      <c r="B90" s="1023"/>
      <c r="C90" s="1035">
        <f t="shared" si="6"/>
        <v>0</v>
      </c>
      <c r="D90" s="1035">
        <f t="shared" si="7"/>
        <v>0</v>
      </c>
      <c r="E90" s="1035"/>
      <c r="F90" s="1035"/>
      <c r="G90" s="1035">
        <f t="shared" si="8"/>
        <v>0</v>
      </c>
      <c r="H90" s="1035"/>
      <c r="I90" s="1035">
        <f t="shared" si="9"/>
        <v>0</v>
      </c>
      <c r="J90" s="1035">
        <f t="shared" si="9"/>
        <v>0</v>
      </c>
      <c r="K90" s="1035">
        <f t="shared" si="9"/>
        <v>0</v>
      </c>
      <c r="L90" s="1035"/>
      <c r="M90" s="1023"/>
      <c r="N90" s="1023"/>
      <c r="O90" s="1023"/>
      <c r="P90" s="1035"/>
      <c r="Q90" s="1023"/>
      <c r="R90" s="1023"/>
      <c r="S90" s="1023"/>
    </row>
    <row r="91" spans="1:19" hidden="1">
      <c r="A91" s="1058">
        <f t="shared" si="10"/>
        <v>2.749999999999984</v>
      </c>
      <c r="B91" s="1023"/>
      <c r="C91" s="1035">
        <f t="shared" si="6"/>
        <v>0</v>
      </c>
      <c r="D91" s="1035">
        <f t="shared" si="7"/>
        <v>0</v>
      </c>
      <c r="E91" s="1035"/>
      <c r="F91" s="1035"/>
      <c r="G91" s="1035">
        <f t="shared" si="8"/>
        <v>0</v>
      </c>
      <c r="H91" s="1035"/>
      <c r="I91" s="1035">
        <f t="shared" si="9"/>
        <v>0</v>
      </c>
      <c r="J91" s="1035">
        <f t="shared" si="9"/>
        <v>0</v>
      </c>
      <c r="K91" s="1035">
        <f t="shared" si="9"/>
        <v>0</v>
      </c>
      <c r="L91" s="1035"/>
      <c r="M91" s="1023"/>
      <c r="N91" s="1023"/>
      <c r="O91" s="1023"/>
      <c r="P91" s="1035"/>
      <c r="Q91" s="1023"/>
      <c r="R91" s="1023"/>
      <c r="S91" s="1023"/>
    </row>
    <row r="92" spans="1:19" hidden="1">
      <c r="A92" s="1058">
        <f t="shared" si="10"/>
        <v>2.7599999999999838</v>
      </c>
      <c r="B92" s="1023"/>
      <c r="C92" s="1035">
        <f t="shared" si="6"/>
        <v>0</v>
      </c>
      <c r="D92" s="1035">
        <f t="shared" si="7"/>
        <v>0</v>
      </c>
      <c r="E92" s="1035"/>
      <c r="F92" s="1035"/>
      <c r="G92" s="1035">
        <f t="shared" si="8"/>
        <v>0</v>
      </c>
      <c r="H92" s="1035"/>
      <c r="I92" s="1035">
        <f t="shared" si="9"/>
        <v>0</v>
      </c>
      <c r="J92" s="1035">
        <f t="shared" si="9"/>
        <v>0</v>
      </c>
      <c r="K92" s="1035">
        <f t="shared" si="9"/>
        <v>0</v>
      </c>
      <c r="L92" s="1035"/>
      <c r="M92" s="1023"/>
      <c r="N92" s="1023"/>
      <c r="O92" s="1023"/>
      <c r="P92" s="1035"/>
      <c r="Q92" s="1023"/>
      <c r="R92" s="1023"/>
      <c r="S92" s="1023"/>
    </row>
    <row r="93" spans="1:19" hidden="1">
      <c r="A93" s="1058">
        <f t="shared" si="10"/>
        <v>2.7699999999999836</v>
      </c>
      <c r="B93" s="1023"/>
      <c r="C93" s="1035">
        <f t="shared" si="6"/>
        <v>0</v>
      </c>
      <c r="D93" s="1035">
        <f t="shared" si="7"/>
        <v>0</v>
      </c>
      <c r="E93" s="1035"/>
      <c r="F93" s="1035"/>
      <c r="G93" s="1035">
        <f t="shared" si="8"/>
        <v>0</v>
      </c>
      <c r="H93" s="1035"/>
      <c r="I93" s="1035">
        <f t="shared" si="9"/>
        <v>0</v>
      </c>
      <c r="J93" s="1035">
        <f t="shared" si="9"/>
        <v>0</v>
      </c>
      <c r="K93" s="1035">
        <f t="shared" si="9"/>
        <v>0</v>
      </c>
      <c r="L93" s="1035"/>
      <c r="M93" s="1023"/>
      <c r="N93" s="1023"/>
      <c r="O93" s="1023"/>
      <c r="P93" s="1035"/>
      <c r="Q93" s="1023"/>
      <c r="R93" s="1023"/>
      <c r="S93" s="1023"/>
    </row>
    <row r="94" spans="1:19" hidden="1">
      <c r="A94" s="1058">
        <f t="shared" si="10"/>
        <v>2.7799999999999834</v>
      </c>
      <c r="B94" s="1023"/>
      <c r="C94" s="1035">
        <f t="shared" si="6"/>
        <v>0</v>
      </c>
      <c r="D94" s="1035">
        <f t="shared" si="7"/>
        <v>0</v>
      </c>
      <c r="E94" s="1035"/>
      <c r="F94" s="1035"/>
      <c r="G94" s="1035">
        <f t="shared" si="8"/>
        <v>0</v>
      </c>
      <c r="H94" s="1035"/>
      <c r="I94" s="1035">
        <f t="shared" si="9"/>
        <v>0</v>
      </c>
      <c r="J94" s="1035">
        <f t="shared" si="9"/>
        <v>0</v>
      </c>
      <c r="K94" s="1035">
        <f t="shared" si="9"/>
        <v>0</v>
      </c>
      <c r="L94" s="1035"/>
      <c r="M94" s="1023"/>
      <c r="N94" s="1023"/>
      <c r="O94" s="1023"/>
      <c r="P94" s="1035"/>
      <c r="Q94" s="1023"/>
      <c r="R94" s="1023"/>
      <c r="S94" s="1023"/>
    </row>
    <row r="95" spans="1:19" hidden="1">
      <c r="A95" s="1058">
        <f t="shared" si="10"/>
        <v>2.7899999999999832</v>
      </c>
      <c r="B95" s="1023"/>
      <c r="C95" s="1035">
        <f t="shared" si="6"/>
        <v>0</v>
      </c>
      <c r="D95" s="1035">
        <f t="shared" si="7"/>
        <v>0</v>
      </c>
      <c r="E95" s="1035"/>
      <c r="F95" s="1035"/>
      <c r="G95" s="1035">
        <f t="shared" si="8"/>
        <v>0</v>
      </c>
      <c r="H95" s="1035"/>
      <c r="I95" s="1035">
        <f t="shared" si="9"/>
        <v>0</v>
      </c>
      <c r="J95" s="1035">
        <f t="shared" si="9"/>
        <v>0</v>
      </c>
      <c r="K95" s="1035">
        <f t="shared" si="9"/>
        <v>0</v>
      </c>
      <c r="L95" s="1035"/>
      <c r="M95" s="1023"/>
      <c r="N95" s="1023"/>
      <c r="O95" s="1023"/>
      <c r="P95" s="1035"/>
      <c r="Q95" s="1023"/>
      <c r="R95" s="1023"/>
      <c r="S95" s="1023"/>
    </row>
    <row r="96" spans="1:19">
      <c r="A96" s="1058">
        <f t="shared" si="10"/>
        <v>2.7999999999999829</v>
      </c>
      <c r="B96" s="1023"/>
      <c r="C96" s="1023"/>
      <c r="D96" s="1023"/>
      <c r="E96" s="1035">
        <f t="shared" ref="E96:F106" si="11">-C96</f>
        <v>0</v>
      </c>
      <c r="F96" s="1035">
        <f t="shared" si="11"/>
        <v>0</v>
      </c>
      <c r="G96" s="1035">
        <f t="shared" si="8"/>
        <v>0</v>
      </c>
      <c r="H96" s="1035"/>
      <c r="I96" s="1035"/>
      <c r="J96" s="1035"/>
      <c r="K96" s="1035"/>
      <c r="L96" s="1035"/>
      <c r="M96" s="1035"/>
      <c r="N96" s="1035"/>
      <c r="O96" s="1035"/>
      <c r="P96" s="1035"/>
      <c r="Q96" s="1035"/>
      <c r="R96" s="1035"/>
      <c r="S96" s="1035"/>
    </row>
    <row r="97" spans="1:256">
      <c r="A97" s="1058">
        <f t="shared" si="10"/>
        <v>2.8099999999999827</v>
      </c>
      <c r="B97" s="1023"/>
      <c r="C97" s="1023"/>
      <c r="D97" s="1023"/>
      <c r="E97" s="1035">
        <f t="shared" si="11"/>
        <v>0</v>
      </c>
      <c r="F97" s="1035">
        <f t="shared" si="11"/>
        <v>0</v>
      </c>
      <c r="G97" s="1035">
        <f t="shared" si="8"/>
        <v>0</v>
      </c>
      <c r="H97" s="1035"/>
      <c r="I97" s="1035"/>
      <c r="J97" s="1035"/>
      <c r="K97" s="1035"/>
      <c r="L97" s="1035"/>
      <c r="M97" s="1035"/>
      <c r="N97" s="1035"/>
      <c r="O97" s="1035"/>
      <c r="P97" s="1035"/>
      <c r="Q97" s="1035"/>
      <c r="R97" s="1035"/>
      <c r="S97" s="1035"/>
    </row>
    <row r="98" spans="1:256">
      <c r="A98" s="1058">
        <f t="shared" si="10"/>
        <v>2.8199999999999825</v>
      </c>
      <c r="B98" s="1023"/>
      <c r="C98" s="1023"/>
      <c r="D98" s="1023"/>
      <c r="E98" s="1035">
        <f t="shared" si="11"/>
        <v>0</v>
      </c>
      <c r="F98" s="1035">
        <f t="shared" si="11"/>
        <v>0</v>
      </c>
      <c r="G98" s="1035">
        <f t="shared" si="8"/>
        <v>0</v>
      </c>
      <c r="H98" s="1035"/>
      <c r="I98" s="1035"/>
      <c r="J98" s="1035"/>
      <c r="K98" s="1035"/>
      <c r="L98" s="1035"/>
      <c r="M98" s="1035"/>
      <c r="N98" s="1035"/>
      <c r="O98" s="1035"/>
      <c r="P98" s="1035"/>
      <c r="Q98" s="1035"/>
      <c r="R98" s="1035"/>
      <c r="S98" s="1035"/>
    </row>
    <row r="99" spans="1:256">
      <c r="A99" s="1058">
        <f t="shared" si="10"/>
        <v>2.8299999999999823</v>
      </c>
      <c r="B99" s="1023"/>
      <c r="C99" s="1023"/>
      <c r="D99" s="1023"/>
      <c r="E99" s="1035">
        <f t="shared" si="11"/>
        <v>0</v>
      </c>
      <c r="F99" s="1035">
        <f t="shared" si="11"/>
        <v>0</v>
      </c>
      <c r="G99" s="1035">
        <f t="shared" si="8"/>
        <v>0</v>
      </c>
      <c r="H99" s="1035"/>
      <c r="I99" s="1035"/>
      <c r="J99" s="1035"/>
      <c r="K99" s="1035"/>
      <c r="L99" s="1035"/>
      <c r="M99" s="1035"/>
      <c r="N99" s="1035"/>
      <c r="O99" s="1035"/>
      <c r="P99" s="1035"/>
      <c r="Q99" s="1035"/>
      <c r="R99" s="1035"/>
      <c r="S99" s="1035"/>
    </row>
    <row r="100" spans="1:256">
      <c r="A100" s="1058">
        <f t="shared" si="10"/>
        <v>2.8399999999999821</v>
      </c>
      <c r="B100" s="1023"/>
      <c r="C100" s="1023"/>
      <c r="D100" s="1023"/>
      <c r="E100" s="1035">
        <f t="shared" si="11"/>
        <v>0</v>
      </c>
      <c r="F100" s="1035">
        <f t="shared" si="11"/>
        <v>0</v>
      </c>
      <c r="G100" s="1035">
        <f t="shared" si="8"/>
        <v>0</v>
      </c>
      <c r="H100" s="1035"/>
      <c r="I100" s="1035"/>
      <c r="J100" s="1035"/>
      <c r="K100" s="1035"/>
      <c r="L100" s="1035"/>
      <c r="M100" s="1035"/>
      <c r="N100" s="1035"/>
      <c r="O100" s="1035"/>
      <c r="P100" s="1035"/>
      <c r="Q100" s="1035"/>
      <c r="R100" s="1035"/>
      <c r="S100" s="1035"/>
    </row>
    <row r="101" spans="1:256">
      <c r="A101" s="1058">
        <f t="shared" si="10"/>
        <v>2.8499999999999819</v>
      </c>
      <c r="B101" s="1023"/>
      <c r="C101" s="1023"/>
      <c r="D101" s="1023"/>
      <c r="E101" s="1035">
        <f t="shared" si="11"/>
        <v>0</v>
      </c>
      <c r="F101" s="1035">
        <f t="shared" si="11"/>
        <v>0</v>
      </c>
      <c r="G101" s="1035">
        <f t="shared" si="8"/>
        <v>0</v>
      </c>
      <c r="H101" s="1035"/>
      <c r="I101" s="1035"/>
      <c r="J101" s="1035"/>
      <c r="K101" s="1035"/>
      <c r="L101" s="1035"/>
      <c r="M101" s="1035"/>
      <c r="N101" s="1035"/>
      <c r="O101" s="1035"/>
      <c r="P101" s="1035"/>
      <c r="Q101" s="1035"/>
      <c r="R101" s="1035"/>
      <c r="S101" s="1035"/>
    </row>
    <row r="102" spans="1:256">
      <c r="A102" s="1058">
        <f t="shared" si="10"/>
        <v>2.8599999999999817</v>
      </c>
      <c r="B102" s="1023"/>
      <c r="C102" s="1023"/>
      <c r="D102" s="1023"/>
      <c r="E102" s="1035">
        <f t="shared" si="11"/>
        <v>0</v>
      </c>
      <c r="F102" s="1035">
        <f t="shared" si="11"/>
        <v>0</v>
      </c>
      <c r="G102" s="1035">
        <f t="shared" si="8"/>
        <v>0</v>
      </c>
      <c r="H102" s="1035"/>
      <c r="I102" s="1035"/>
      <c r="J102" s="1035"/>
      <c r="K102" s="1035"/>
      <c r="L102" s="1035"/>
      <c r="M102" s="1035"/>
      <c r="N102" s="1035"/>
      <c r="O102" s="1035"/>
      <c r="P102" s="1035"/>
      <c r="Q102" s="1035"/>
      <c r="R102" s="1035"/>
      <c r="S102" s="1035"/>
    </row>
    <row r="103" spans="1:256">
      <c r="A103" s="1058">
        <f t="shared" si="10"/>
        <v>2.8699999999999815</v>
      </c>
      <c r="B103" s="1023"/>
      <c r="C103" s="1023"/>
      <c r="D103" s="1023"/>
      <c r="E103" s="1035">
        <f t="shared" si="11"/>
        <v>0</v>
      </c>
      <c r="F103" s="1035">
        <f t="shared" si="11"/>
        <v>0</v>
      </c>
      <c r="G103" s="1035">
        <f t="shared" si="8"/>
        <v>0</v>
      </c>
      <c r="H103" s="1035"/>
      <c r="I103" s="1035"/>
      <c r="J103" s="1035"/>
      <c r="K103" s="1035"/>
      <c r="L103" s="1035"/>
      <c r="M103" s="1035"/>
      <c r="N103" s="1035"/>
      <c r="O103" s="1035"/>
      <c r="P103" s="1035"/>
      <c r="Q103" s="1035"/>
      <c r="R103" s="1035"/>
      <c r="S103" s="1035"/>
    </row>
    <row r="104" spans="1:256">
      <c r="A104" s="1058">
        <f t="shared" si="10"/>
        <v>2.8799999999999812</v>
      </c>
      <c r="B104" s="1023"/>
      <c r="C104" s="1023"/>
      <c r="D104" s="1023"/>
      <c r="E104" s="1035">
        <f t="shared" si="11"/>
        <v>0</v>
      </c>
      <c r="F104" s="1035">
        <f t="shared" si="11"/>
        <v>0</v>
      </c>
      <c r="G104" s="1035">
        <f t="shared" si="8"/>
        <v>0</v>
      </c>
      <c r="H104" s="1035"/>
      <c r="I104" s="1035"/>
      <c r="J104" s="1035"/>
      <c r="K104" s="1035"/>
      <c r="L104" s="1035"/>
      <c r="M104" s="1035"/>
      <c r="N104" s="1035"/>
      <c r="O104" s="1035"/>
      <c r="P104" s="1035"/>
      <c r="Q104" s="1035"/>
      <c r="R104" s="1035"/>
      <c r="S104" s="1035"/>
    </row>
    <row r="105" spans="1:256">
      <c r="A105" s="1058">
        <f t="shared" si="10"/>
        <v>2.889999999999981</v>
      </c>
      <c r="B105" s="1023"/>
      <c r="C105" s="1023"/>
      <c r="D105" s="1023"/>
      <c r="E105" s="1035">
        <f t="shared" si="11"/>
        <v>0</v>
      </c>
      <c r="F105" s="1035">
        <f t="shared" si="11"/>
        <v>0</v>
      </c>
      <c r="G105" s="1035">
        <f t="shared" si="8"/>
        <v>0</v>
      </c>
      <c r="H105" s="1035"/>
      <c r="I105" s="1035"/>
      <c r="J105" s="1035"/>
      <c r="K105" s="1035"/>
      <c r="L105" s="1035"/>
      <c r="M105" s="1035"/>
      <c r="N105" s="1035"/>
      <c r="O105" s="1035"/>
      <c r="P105" s="1035"/>
      <c r="Q105" s="1035"/>
      <c r="R105" s="1035"/>
      <c r="S105" s="1035"/>
    </row>
    <row r="106" spans="1:256">
      <c r="A106" s="1058">
        <f t="shared" si="10"/>
        <v>2.8999999999999808</v>
      </c>
      <c r="B106" s="1023"/>
      <c r="C106" s="1023"/>
      <c r="D106" s="1023"/>
      <c r="E106" s="1035">
        <f t="shared" si="11"/>
        <v>0</v>
      </c>
      <c r="F106" s="1035">
        <f t="shared" si="11"/>
        <v>0</v>
      </c>
      <c r="G106" s="1035">
        <f t="shared" si="8"/>
        <v>0</v>
      </c>
      <c r="H106" s="1035"/>
      <c r="I106" s="1035">
        <f t="shared" ref="I106:K107" si="12">(M106+Q106)/2</f>
        <v>0</v>
      </c>
      <c r="J106" s="1035">
        <f t="shared" si="12"/>
        <v>0</v>
      </c>
      <c r="K106" s="1035">
        <f t="shared" si="12"/>
        <v>0</v>
      </c>
      <c r="L106" s="1035"/>
      <c r="M106" s="1035"/>
      <c r="N106" s="1035"/>
      <c r="O106" s="1035"/>
      <c r="P106" s="1035"/>
      <c r="Q106" s="1035"/>
      <c r="R106" s="1035"/>
      <c r="S106" s="1035"/>
    </row>
    <row r="107" spans="1:256">
      <c r="A107" s="1058">
        <f t="shared" si="10"/>
        <v>2.9099999999999806</v>
      </c>
      <c r="B107" s="1023"/>
      <c r="C107" s="1035">
        <f>SUM(M107:O107)</f>
        <v>0</v>
      </c>
      <c r="D107" s="1035">
        <f>SUM(Q107:S107)</f>
        <v>0</v>
      </c>
      <c r="E107" s="1035"/>
      <c r="F107" s="1035"/>
      <c r="G107" s="1035">
        <f t="shared" si="8"/>
        <v>0</v>
      </c>
      <c r="H107" s="1035"/>
      <c r="I107" s="1035">
        <f t="shared" si="12"/>
        <v>0</v>
      </c>
      <c r="J107" s="1035">
        <f t="shared" si="12"/>
        <v>0</v>
      </c>
      <c r="K107" s="1035">
        <f t="shared" si="12"/>
        <v>0</v>
      </c>
      <c r="L107" s="1035"/>
      <c r="M107" s="1023"/>
      <c r="N107" s="1023"/>
      <c r="O107" s="1023"/>
      <c r="P107" s="1035"/>
      <c r="Q107" s="1023"/>
      <c r="R107" s="1023"/>
      <c r="S107" s="1023"/>
    </row>
    <row r="108" spans="1:256">
      <c r="A108" s="1052"/>
      <c r="B108" s="1035"/>
      <c r="C108" s="1035"/>
      <c r="D108" s="1035"/>
      <c r="E108" s="1035"/>
      <c r="F108" s="1035"/>
      <c r="G108" s="1035"/>
      <c r="H108" s="1035"/>
      <c r="I108" s="1035"/>
      <c r="J108" s="1035"/>
      <c r="K108" s="1035"/>
      <c r="L108" s="1035"/>
      <c r="M108" s="1035"/>
      <c r="N108" s="1035"/>
      <c r="O108" s="1035"/>
      <c r="P108" s="1035"/>
      <c r="Q108" s="1035"/>
      <c r="R108" s="1035"/>
      <c r="S108" s="1035"/>
    </row>
    <row r="109" spans="1:256" ht="13.5" thickBot="1">
      <c r="A109" s="1018">
        <v>3</v>
      </c>
      <c r="B109" s="1040" t="s">
        <v>689</v>
      </c>
      <c r="C109" s="1053">
        <f>SUM(C17:C108)</f>
        <v>0</v>
      </c>
      <c r="D109" s="1053">
        <f>SUM(D17:D108)</f>
        <v>0</v>
      </c>
      <c r="E109" s="1053">
        <f>SUM(E17:E108)</f>
        <v>0</v>
      </c>
      <c r="F109" s="1053">
        <f>SUM(F17:F108)</f>
        <v>0</v>
      </c>
      <c r="G109" s="1053">
        <f>SUM(G17:G108)</f>
        <v>0</v>
      </c>
      <c r="H109" s="1035"/>
      <c r="I109" s="1053">
        <f>SUM(I17:I108)</f>
        <v>0</v>
      </c>
      <c r="J109" s="1053">
        <f>SUM(J17:J108)</f>
        <v>0</v>
      </c>
      <c r="K109" s="1053">
        <f>SUM(K17:K108)</f>
        <v>0</v>
      </c>
      <c r="L109" s="1035"/>
      <c r="M109" s="1053">
        <f>SUM(M17:M108)</f>
        <v>0</v>
      </c>
      <c r="N109" s="1053">
        <f>SUM(N17:N108)</f>
        <v>0</v>
      </c>
      <c r="O109" s="1053">
        <f>SUM(O17:O108)</f>
        <v>0</v>
      </c>
      <c r="P109" s="1035"/>
      <c r="Q109" s="1053">
        <f>SUM(Q17:Q108)</f>
        <v>0</v>
      </c>
      <c r="R109" s="1053">
        <f>SUM(R17:R108)</f>
        <v>0</v>
      </c>
      <c r="S109" s="1053">
        <f>SUM(S17:S108)</f>
        <v>0</v>
      </c>
    </row>
    <row r="110" spans="1:256" s="1167" customFormat="1" ht="13.5" thickTop="1">
      <c r="A110" s="1019">
        <v>4</v>
      </c>
      <c r="B110" s="1027" t="s">
        <v>690</v>
      </c>
      <c r="C110" s="1245">
        <f>C77+C78</f>
        <v>0</v>
      </c>
      <c r="D110" s="1245">
        <f>D77+D78</f>
        <v>0</v>
      </c>
      <c r="E110" s="1245">
        <f>E77+E78</f>
        <v>0</v>
      </c>
      <c r="F110" s="1245">
        <f>F77+F78</f>
        <v>0</v>
      </c>
      <c r="G110" s="1245">
        <f>G77+G78</f>
        <v>0</v>
      </c>
      <c r="I110" s="1245">
        <f>I77+I78</f>
        <v>0</v>
      </c>
      <c r="J110" s="1245">
        <f>J77+J78</f>
        <v>0</v>
      </c>
      <c r="K110" s="1245">
        <f>K77+K78</f>
        <v>0</v>
      </c>
      <c r="M110" s="1245">
        <f>M77+M78</f>
        <v>0</v>
      </c>
      <c r="N110" s="1245">
        <f>N77+N78</f>
        <v>0</v>
      </c>
      <c r="O110" s="1245">
        <f>O77+O78</f>
        <v>0</v>
      </c>
      <c r="Q110" s="1245">
        <f>Q77+Q78</f>
        <v>0</v>
      </c>
      <c r="R110" s="1245">
        <f>R77+R78</f>
        <v>0</v>
      </c>
      <c r="S110" s="1245">
        <f>S77+S78</f>
        <v>0</v>
      </c>
      <c r="IV110" s="1245"/>
    </row>
    <row r="111" spans="1:256">
      <c r="I111" s="1054"/>
    </row>
  </sheetData>
  <pageMargins left="0.7" right="0.7" top="0.75" bottom="0.75" header="0.3" footer="0.3"/>
  <pageSetup scale="31"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
  <dimension ref="A1:W87"/>
  <sheetViews>
    <sheetView workbookViewId="0">
      <selection activeCell="A5" sqref="A5"/>
    </sheetView>
  </sheetViews>
  <sheetFormatPr defaultColWidth="10" defaultRowHeight="12"/>
  <cols>
    <col min="1" max="1" width="9.42578125" style="1328" customWidth="1"/>
    <col min="2" max="2" width="20.85546875" style="1329" customWidth="1"/>
    <col min="3" max="3" width="35.5703125" style="1328" customWidth="1"/>
    <col min="4" max="4" width="12.85546875" style="1328" customWidth="1"/>
    <col min="5" max="5" width="10.42578125" style="1328" customWidth="1"/>
    <col min="6" max="6" width="16.42578125" style="1328" customWidth="1"/>
    <col min="7" max="7" width="12" style="1328" customWidth="1"/>
    <col min="8" max="8" width="14.28515625" style="1328" bestFit="1" customWidth="1"/>
    <col min="9" max="9" width="18.85546875" style="1328" customWidth="1"/>
    <col min="10" max="10" width="15.5703125" style="1328" customWidth="1"/>
    <col min="11" max="11" width="16.140625" style="1328" customWidth="1"/>
    <col min="12" max="13" width="15" style="1328" customWidth="1"/>
    <col min="14" max="14" width="13.5703125" style="1328" customWidth="1"/>
    <col min="15" max="15" width="15" style="1328" customWidth="1"/>
    <col min="16" max="17" width="17.5703125" style="1328" customWidth="1"/>
    <col min="18" max="18" width="33" style="1328" customWidth="1"/>
    <col min="19" max="19" width="15" style="1328" customWidth="1"/>
    <col min="20" max="21" width="14.5703125" style="1328" bestFit="1" customWidth="1"/>
    <col min="22" max="22" width="10.5703125" style="1328" bestFit="1" customWidth="1"/>
    <col min="23" max="256" width="10" style="1328"/>
    <col min="257" max="257" width="9.42578125" style="1328" customWidth="1"/>
    <col min="258" max="258" width="20.85546875" style="1328" customWidth="1"/>
    <col min="259" max="259" width="35.5703125" style="1328" customWidth="1"/>
    <col min="260" max="260" width="12.85546875" style="1328" customWidth="1"/>
    <col min="261" max="261" width="10.42578125" style="1328" customWidth="1"/>
    <col min="262" max="262" width="16.42578125" style="1328" customWidth="1"/>
    <col min="263" max="263" width="12" style="1328" customWidth="1"/>
    <col min="264" max="264" width="14.28515625" style="1328" bestFit="1" customWidth="1"/>
    <col min="265" max="265" width="18.85546875" style="1328" customWidth="1"/>
    <col min="266" max="266" width="15.5703125" style="1328" customWidth="1"/>
    <col min="267" max="267" width="16.140625" style="1328" customWidth="1"/>
    <col min="268" max="269" width="15" style="1328" customWidth="1"/>
    <col min="270" max="270" width="13.5703125" style="1328" customWidth="1"/>
    <col min="271" max="271" width="15" style="1328" customWidth="1"/>
    <col min="272" max="273" width="17.5703125" style="1328" customWidth="1"/>
    <col min="274" max="274" width="33" style="1328" customWidth="1"/>
    <col min="275" max="275" width="15" style="1328" customWidth="1"/>
    <col min="276" max="277" width="14.5703125" style="1328" bestFit="1" customWidth="1"/>
    <col min="278" max="278" width="10.5703125" style="1328" bestFit="1" customWidth="1"/>
    <col min="279" max="512" width="10" style="1328"/>
    <col min="513" max="513" width="9.42578125" style="1328" customWidth="1"/>
    <col min="514" max="514" width="20.85546875" style="1328" customWidth="1"/>
    <col min="515" max="515" width="35.5703125" style="1328" customWidth="1"/>
    <col min="516" max="516" width="12.85546875" style="1328" customWidth="1"/>
    <col min="517" max="517" width="10.42578125" style="1328" customWidth="1"/>
    <col min="518" max="518" width="16.42578125" style="1328" customWidth="1"/>
    <col min="519" max="519" width="12" style="1328" customWidth="1"/>
    <col min="520" max="520" width="14.28515625" style="1328" bestFit="1" customWidth="1"/>
    <col min="521" max="521" width="18.85546875" style="1328" customWidth="1"/>
    <col min="522" max="522" width="15.5703125" style="1328" customWidth="1"/>
    <col min="523" max="523" width="16.140625" style="1328" customWidth="1"/>
    <col min="524" max="525" width="15" style="1328" customWidth="1"/>
    <col min="526" max="526" width="13.5703125" style="1328" customWidth="1"/>
    <col min="527" max="527" width="15" style="1328" customWidth="1"/>
    <col min="528" max="529" width="17.5703125" style="1328" customWidth="1"/>
    <col min="530" max="530" width="33" style="1328" customWidth="1"/>
    <col min="531" max="531" width="15" style="1328" customWidth="1"/>
    <col min="532" max="533" width="14.5703125" style="1328" bestFit="1" customWidth="1"/>
    <col min="534" max="534" width="10.5703125" style="1328" bestFit="1" customWidth="1"/>
    <col min="535" max="768" width="10" style="1328"/>
    <col min="769" max="769" width="9.42578125" style="1328" customWidth="1"/>
    <col min="770" max="770" width="20.85546875" style="1328" customWidth="1"/>
    <col min="771" max="771" width="35.5703125" style="1328" customWidth="1"/>
    <col min="772" max="772" width="12.85546875" style="1328" customWidth="1"/>
    <col min="773" max="773" width="10.42578125" style="1328" customWidth="1"/>
    <col min="774" max="774" width="16.42578125" style="1328" customWidth="1"/>
    <col min="775" max="775" width="12" style="1328" customWidth="1"/>
    <col min="776" max="776" width="14.28515625" style="1328" bestFit="1" customWidth="1"/>
    <col min="777" max="777" width="18.85546875" style="1328" customWidth="1"/>
    <col min="778" max="778" width="15.5703125" style="1328" customWidth="1"/>
    <col min="779" max="779" width="16.140625" style="1328" customWidth="1"/>
    <col min="780" max="781" width="15" style="1328" customWidth="1"/>
    <col min="782" max="782" width="13.5703125" style="1328" customWidth="1"/>
    <col min="783" max="783" width="15" style="1328" customWidth="1"/>
    <col min="784" max="785" width="17.5703125" style="1328" customWidth="1"/>
    <col min="786" max="786" width="33" style="1328" customWidth="1"/>
    <col min="787" max="787" width="15" style="1328" customWidth="1"/>
    <col min="788" max="789" width="14.5703125" style="1328" bestFit="1" customWidth="1"/>
    <col min="790" max="790" width="10.5703125" style="1328" bestFit="1" customWidth="1"/>
    <col min="791" max="1024" width="10" style="1328"/>
    <col min="1025" max="1025" width="9.42578125" style="1328" customWidth="1"/>
    <col min="1026" max="1026" width="20.85546875" style="1328" customWidth="1"/>
    <col min="1027" max="1027" width="35.5703125" style="1328" customWidth="1"/>
    <col min="1028" max="1028" width="12.85546875" style="1328" customWidth="1"/>
    <col min="1029" max="1029" width="10.42578125" style="1328" customWidth="1"/>
    <col min="1030" max="1030" width="16.42578125" style="1328" customWidth="1"/>
    <col min="1031" max="1031" width="12" style="1328" customWidth="1"/>
    <col min="1032" max="1032" width="14.28515625" style="1328" bestFit="1" customWidth="1"/>
    <col min="1033" max="1033" width="18.85546875" style="1328" customWidth="1"/>
    <col min="1034" max="1034" width="15.5703125" style="1328" customWidth="1"/>
    <col min="1035" max="1035" width="16.140625" style="1328" customWidth="1"/>
    <col min="1036" max="1037" width="15" style="1328" customWidth="1"/>
    <col min="1038" max="1038" width="13.5703125" style="1328" customWidth="1"/>
    <col min="1039" max="1039" width="15" style="1328" customWidth="1"/>
    <col min="1040" max="1041" width="17.5703125" style="1328" customWidth="1"/>
    <col min="1042" max="1042" width="33" style="1328" customWidth="1"/>
    <col min="1043" max="1043" width="15" style="1328" customWidth="1"/>
    <col min="1044" max="1045" width="14.5703125" style="1328" bestFit="1" customWidth="1"/>
    <col min="1046" max="1046" width="10.5703125" style="1328" bestFit="1" customWidth="1"/>
    <col min="1047" max="1280" width="10" style="1328"/>
    <col min="1281" max="1281" width="9.42578125" style="1328" customWidth="1"/>
    <col min="1282" max="1282" width="20.85546875" style="1328" customWidth="1"/>
    <col min="1283" max="1283" width="35.5703125" style="1328" customWidth="1"/>
    <col min="1284" max="1284" width="12.85546875" style="1328" customWidth="1"/>
    <col min="1285" max="1285" width="10.42578125" style="1328" customWidth="1"/>
    <col min="1286" max="1286" width="16.42578125" style="1328" customWidth="1"/>
    <col min="1287" max="1287" width="12" style="1328" customWidth="1"/>
    <col min="1288" max="1288" width="14.28515625" style="1328" bestFit="1" customWidth="1"/>
    <col min="1289" max="1289" width="18.85546875" style="1328" customWidth="1"/>
    <col min="1290" max="1290" width="15.5703125" style="1328" customWidth="1"/>
    <col min="1291" max="1291" width="16.140625" style="1328" customWidth="1"/>
    <col min="1292" max="1293" width="15" style="1328" customWidth="1"/>
    <col min="1294" max="1294" width="13.5703125" style="1328" customWidth="1"/>
    <col min="1295" max="1295" width="15" style="1328" customWidth="1"/>
    <col min="1296" max="1297" width="17.5703125" style="1328" customWidth="1"/>
    <col min="1298" max="1298" width="33" style="1328" customWidth="1"/>
    <col min="1299" max="1299" width="15" style="1328" customWidth="1"/>
    <col min="1300" max="1301" width="14.5703125" style="1328" bestFit="1" customWidth="1"/>
    <col min="1302" max="1302" width="10.5703125" style="1328" bestFit="1" customWidth="1"/>
    <col min="1303" max="1536" width="10" style="1328"/>
    <col min="1537" max="1537" width="9.42578125" style="1328" customWidth="1"/>
    <col min="1538" max="1538" width="20.85546875" style="1328" customWidth="1"/>
    <col min="1539" max="1539" width="35.5703125" style="1328" customWidth="1"/>
    <col min="1540" max="1540" width="12.85546875" style="1328" customWidth="1"/>
    <col min="1541" max="1541" width="10.42578125" style="1328" customWidth="1"/>
    <col min="1542" max="1542" width="16.42578125" style="1328" customWidth="1"/>
    <col min="1543" max="1543" width="12" style="1328" customWidth="1"/>
    <col min="1544" max="1544" width="14.28515625" style="1328" bestFit="1" customWidth="1"/>
    <col min="1545" max="1545" width="18.85546875" style="1328" customWidth="1"/>
    <col min="1546" max="1546" width="15.5703125" style="1328" customWidth="1"/>
    <col min="1547" max="1547" width="16.140625" style="1328" customWidth="1"/>
    <col min="1548" max="1549" width="15" style="1328" customWidth="1"/>
    <col min="1550" max="1550" width="13.5703125" style="1328" customWidth="1"/>
    <col min="1551" max="1551" width="15" style="1328" customWidth="1"/>
    <col min="1552" max="1553" width="17.5703125" style="1328" customWidth="1"/>
    <col min="1554" max="1554" width="33" style="1328" customWidth="1"/>
    <col min="1555" max="1555" width="15" style="1328" customWidth="1"/>
    <col min="1556" max="1557" width="14.5703125" style="1328" bestFit="1" customWidth="1"/>
    <col min="1558" max="1558" width="10.5703125" style="1328" bestFit="1" customWidth="1"/>
    <col min="1559" max="1792" width="10" style="1328"/>
    <col min="1793" max="1793" width="9.42578125" style="1328" customWidth="1"/>
    <col min="1794" max="1794" width="20.85546875" style="1328" customWidth="1"/>
    <col min="1795" max="1795" width="35.5703125" style="1328" customWidth="1"/>
    <col min="1796" max="1796" width="12.85546875" style="1328" customWidth="1"/>
    <col min="1797" max="1797" width="10.42578125" style="1328" customWidth="1"/>
    <col min="1798" max="1798" width="16.42578125" style="1328" customWidth="1"/>
    <col min="1799" max="1799" width="12" style="1328" customWidth="1"/>
    <col min="1800" max="1800" width="14.28515625" style="1328" bestFit="1" customWidth="1"/>
    <col min="1801" max="1801" width="18.85546875" style="1328" customWidth="1"/>
    <col min="1802" max="1802" width="15.5703125" style="1328" customWidth="1"/>
    <col min="1803" max="1803" width="16.140625" style="1328" customWidth="1"/>
    <col min="1804" max="1805" width="15" style="1328" customWidth="1"/>
    <col min="1806" max="1806" width="13.5703125" style="1328" customWidth="1"/>
    <col min="1807" max="1807" width="15" style="1328" customWidth="1"/>
    <col min="1808" max="1809" width="17.5703125" style="1328" customWidth="1"/>
    <col min="1810" max="1810" width="33" style="1328" customWidth="1"/>
    <col min="1811" max="1811" width="15" style="1328" customWidth="1"/>
    <col min="1812" max="1813" width="14.5703125" style="1328" bestFit="1" customWidth="1"/>
    <col min="1814" max="1814" width="10.5703125" style="1328" bestFit="1" customWidth="1"/>
    <col min="1815" max="2048" width="10" style="1328"/>
    <col min="2049" max="2049" width="9.42578125" style="1328" customWidth="1"/>
    <col min="2050" max="2050" width="20.85546875" style="1328" customWidth="1"/>
    <col min="2051" max="2051" width="35.5703125" style="1328" customWidth="1"/>
    <col min="2052" max="2052" width="12.85546875" style="1328" customWidth="1"/>
    <col min="2053" max="2053" width="10.42578125" style="1328" customWidth="1"/>
    <col min="2054" max="2054" width="16.42578125" style="1328" customWidth="1"/>
    <col min="2055" max="2055" width="12" style="1328" customWidth="1"/>
    <col min="2056" max="2056" width="14.28515625" style="1328" bestFit="1" customWidth="1"/>
    <col min="2057" max="2057" width="18.85546875" style="1328" customWidth="1"/>
    <col min="2058" max="2058" width="15.5703125" style="1328" customWidth="1"/>
    <col min="2059" max="2059" width="16.140625" style="1328" customWidth="1"/>
    <col min="2060" max="2061" width="15" style="1328" customWidth="1"/>
    <col min="2062" max="2062" width="13.5703125" style="1328" customWidth="1"/>
    <col min="2063" max="2063" width="15" style="1328" customWidth="1"/>
    <col min="2064" max="2065" width="17.5703125" style="1328" customWidth="1"/>
    <col min="2066" max="2066" width="33" style="1328" customWidth="1"/>
    <col min="2067" max="2067" width="15" style="1328" customWidth="1"/>
    <col min="2068" max="2069" width="14.5703125" style="1328" bestFit="1" customWidth="1"/>
    <col min="2070" max="2070" width="10.5703125" style="1328" bestFit="1" customWidth="1"/>
    <col min="2071" max="2304" width="10" style="1328"/>
    <col min="2305" max="2305" width="9.42578125" style="1328" customWidth="1"/>
    <col min="2306" max="2306" width="20.85546875" style="1328" customWidth="1"/>
    <col min="2307" max="2307" width="35.5703125" style="1328" customWidth="1"/>
    <col min="2308" max="2308" width="12.85546875" style="1328" customWidth="1"/>
    <col min="2309" max="2309" width="10.42578125" style="1328" customWidth="1"/>
    <col min="2310" max="2310" width="16.42578125" style="1328" customWidth="1"/>
    <col min="2311" max="2311" width="12" style="1328" customWidth="1"/>
    <col min="2312" max="2312" width="14.28515625" style="1328" bestFit="1" customWidth="1"/>
    <col min="2313" max="2313" width="18.85546875" style="1328" customWidth="1"/>
    <col min="2314" max="2314" width="15.5703125" style="1328" customWidth="1"/>
    <col min="2315" max="2315" width="16.140625" style="1328" customWidth="1"/>
    <col min="2316" max="2317" width="15" style="1328" customWidth="1"/>
    <col min="2318" max="2318" width="13.5703125" style="1328" customWidth="1"/>
    <col min="2319" max="2319" width="15" style="1328" customWidth="1"/>
    <col min="2320" max="2321" width="17.5703125" style="1328" customWidth="1"/>
    <col min="2322" max="2322" width="33" style="1328" customWidth="1"/>
    <col min="2323" max="2323" width="15" style="1328" customWidth="1"/>
    <col min="2324" max="2325" width="14.5703125" style="1328" bestFit="1" customWidth="1"/>
    <col min="2326" max="2326" width="10.5703125" style="1328" bestFit="1" customWidth="1"/>
    <col min="2327" max="2560" width="10" style="1328"/>
    <col min="2561" max="2561" width="9.42578125" style="1328" customWidth="1"/>
    <col min="2562" max="2562" width="20.85546875" style="1328" customWidth="1"/>
    <col min="2563" max="2563" width="35.5703125" style="1328" customWidth="1"/>
    <col min="2564" max="2564" width="12.85546875" style="1328" customWidth="1"/>
    <col min="2565" max="2565" width="10.42578125" style="1328" customWidth="1"/>
    <col min="2566" max="2566" width="16.42578125" style="1328" customWidth="1"/>
    <col min="2567" max="2567" width="12" style="1328" customWidth="1"/>
    <col min="2568" max="2568" width="14.28515625" style="1328" bestFit="1" customWidth="1"/>
    <col min="2569" max="2569" width="18.85546875" style="1328" customWidth="1"/>
    <col min="2570" max="2570" width="15.5703125" style="1328" customWidth="1"/>
    <col min="2571" max="2571" width="16.140625" style="1328" customWidth="1"/>
    <col min="2572" max="2573" width="15" style="1328" customWidth="1"/>
    <col min="2574" max="2574" width="13.5703125" style="1328" customWidth="1"/>
    <col min="2575" max="2575" width="15" style="1328" customWidth="1"/>
    <col min="2576" max="2577" width="17.5703125" style="1328" customWidth="1"/>
    <col min="2578" max="2578" width="33" style="1328" customWidth="1"/>
    <col min="2579" max="2579" width="15" style="1328" customWidth="1"/>
    <col min="2580" max="2581" width="14.5703125" style="1328" bestFit="1" customWidth="1"/>
    <col min="2582" max="2582" width="10.5703125" style="1328" bestFit="1" customWidth="1"/>
    <col min="2583" max="2816" width="10" style="1328"/>
    <col min="2817" max="2817" width="9.42578125" style="1328" customWidth="1"/>
    <col min="2818" max="2818" width="20.85546875" style="1328" customWidth="1"/>
    <col min="2819" max="2819" width="35.5703125" style="1328" customWidth="1"/>
    <col min="2820" max="2820" width="12.85546875" style="1328" customWidth="1"/>
    <col min="2821" max="2821" width="10.42578125" style="1328" customWidth="1"/>
    <col min="2822" max="2822" width="16.42578125" style="1328" customWidth="1"/>
    <col min="2823" max="2823" width="12" style="1328" customWidth="1"/>
    <col min="2824" max="2824" width="14.28515625" style="1328" bestFit="1" customWidth="1"/>
    <col min="2825" max="2825" width="18.85546875" style="1328" customWidth="1"/>
    <col min="2826" max="2826" width="15.5703125" style="1328" customWidth="1"/>
    <col min="2827" max="2827" width="16.140625" style="1328" customWidth="1"/>
    <col min="2828" max="2829" width="15" style="1328" customWidth="1"/>
    <col min="2830" max="2830" width="13.5703125" style="1328" customWidth="1"/>
    <col min="2831" max="2831" width="15" style="1328" customWidth="1"/>
    <col min="2832" max="2833" width="17.5703125" style="1328" customWidth="1"/>
    <col min="2834" max="2834" width="33" style="1328" customWidth="1"/>
    <col min="2835" max="2835" width="15" style="1328" customWidth="1"/>
    <col min="2836" max="2837" width="14.5703125" style="1328" bestFit="1" customWidth="1"/>
    <col min="2838" max="2838" width="10.5703125" style="1328" bestFit="1" customWidth="1"/>
    <col min="2839" max="3072" width="10" style="1328"/>
    <col min="3073" max="3073" width="9.42578125" style="1328" customWidth="1"/>
    <col min="3074" max="3074" width="20.85546875" style="1328" customWidth="1"/>
    <col min="3075" max="3075" width="35.5703125" style="1328" customWidth="1"/>
    <col min="3076" max="3076" width="12.85546875" style="1328" customWidth="1"/>
    <col min="3077" max="3077" width="10.42578125" style="1328" customWidth="1"/>
    <col min="3078" max="3078" width="16.42578125" style="1328" customWidth="1"/>
    <col min="3079" max="3079" width="12" style="1328" customWidth="1"/>
    <col min="3080" max="3080" width="14.28515625" style="1328" bestFit="1" customWidth="1"/>
    <col min="3081" max="3081" width="18.85546875" style="1328" customWidth="1"/>
    <col min="3082" max="3082" width="15.5703125" style="1328" customWidth="1"/>
    <col min="3083" max="3083" width="16.140625" style="1328" customWidth="1"/>
    <col min="3084" max="3085" width="15" style="1328" customWidth="1"/>
    <col min="3086" max="3086" width="13.5703125" style="1328" customWidth="1"/>
    <col min="3087" max="3087" width="15" style="1328" customWidth="1"/>
    <col min="3088" max="3089" width="17.5703125" style="1328" customWidth="1"/>
    <col min="3090" max="3090" width="33" style="1328" customWidth="1"/>
    <col min="3091" max="3091" width="15" style="1328" customWidth="1"/>
    <col min="3092" max="3093" width="14.5703125" style="1328" bestFit="1" customWidth="1"/>
    <col min="3094" max="3094" width="10.5703125" style="1328" bestFit="1" customWidth="1"/>
    <col min="3095" max="3328" width="10" style="1328"/>
    <col min="3329" max="3329" width="9.42578125" style="1328" customWidth="1"/>
    <col min="3330" max="3330" width="20.85546875" style="1328" customWidth="1"/>
    <col min="3331" max="3331" width="35.5703125" style="1328" customWidth="1"/>
    <col min="3332" max="3332" width="12.85546875" style="1328" customWidth="1"/>
    <col min="3333" max="3333" width="10.42578125" style="1328" customWidth="1"/>
    <col min="3334" max="3334" width="16.42578125" style="1328" customWidth="1"/>
    <col min="3335" max="3335" width="12" style="1328" customWidth="1"/>
    <col min="3336" max="3336" width="14.28515625" style="1328" bestFit="1" customWidth="1"/>
    <col min="3337" max="3337" width="18.85546875" style="1328" customWidth="1"/>
    <col min="3338" max="3338" width="15.5703125" style="1328" customWidth="1"/>
    <col min="3339" max="3339" width="16.140625" style="1328" customWidth="1"/>
    <col min="3340" max="3341" width="15" style="1328" customWidth="1"/>
    <col min="3342" max="3342" width="13.5703125" style="1328" customWidth="1"/>
    <col min="3343" max="3343" width="15" style="1328" customWidth="1"/>
    <col min="3344" max="3345" width="17.5703125" style="1328" customWidth="1"/>
    <col min="3346" max="3346" width="33" style="1328" customWidth="1"/>
    <col min="3347" max="3347" width="15" style="1328" customWidth="1"/>
    <col min="3348" max="3349" width="14.5703125" style="1328" bestFit="1" customWidth="1"/>
    <col min="3350" max="3350" width="10.5703125" style="1328" bestFit="1" customWidth="1"/>
    <col min="3351" max="3584" width="10" style="1328"/>
    <col min="3585" max="3585" width="9.42578125" style="1328" customWidth="1"/>
    <col min="3586" max="3586" width="20.85546875" style="1328" customWidth="1"/>
    <col min="3587" max="3587" width="35.5703125" style="1328" customWidth="1"/>
    <col min="3588" max="3588" width="12.85546875" style="1328" customWidth="1"/>
    <col min="3589" max="3589" width="10.42578125" style="1328" customWidth="1"/>
    <col min="3590" max="3590" width="16.42578125" style="1328" customWidth="1"/>
    <col min="3591" max="3591" width="12" style="1328" customWidth="1"/>
    <col min="3592" max="3592" width="14.28515625" style="1328" bestFit="1" customWidth="1"/>
    <col min="3593" max="3593" width="18.85546875" style="1328" customWidth="1"/>
    <col min="3594" max="3594" width="15.5703125" style="1328" customWidth="1"/>
    <col min="3595" max="3595" width="16.140625" style="1328" customWidth="1"/>
    <col min="3596" max="3597" width="15" style="1328" customWidth="1"/>
    <col min="3598" max="3598" width="13.5703125" style="1328" customWidth="1"/>
    <col min="3599" max="3599" width="15" style="1328" customWidth="1"/>
    <col min="3600" max="3601" width="17.5703125" style="1328" customWidth="1"/>
    <col min="3602" max="3602" width="33" style="1328" customWidth="1"/>
    <col min="3603" max="3603" width="15" style="1328" customWidth="1"/>
    <col min="3604" max="3605" width="14.5703125" style="1328" bestFit="1" customWidth="1"/>
    <col min="3606" max="3606" width="10.5703125" style="1328" bestFit="1" customWidth="1"/>
    <col min="3607" max="3840" width="10" style="1328"/>
    <col min="3841" max="3841" width="9.42578125" style="1328" customWidth="1"/>
    <col min="3842" max="3842" width="20.85546875" style="1328" customWidth="1"/>
    <col min="3843" max="3843" width="35.5703125" style="1328" customWidth="1"/>
    <col min="3844" max="3844" width="12.85546875" style="1328" customWidth="1"/>
    <col min="3845" max="3845" width="10.42578125" style="1328" customWidth="1"/>
    <col min="3846" max="3846" width="16.42578125" style="1328" customWidth="1"/>
    <col min="3847" max="3847" width="12" style="1328" customWidth="1"/>
    <col min="3848" max="3848" width="14.28515625" style="1328" bestFit="1" customWidth="1"/>
    <col min="3849" max="3849" width="18.85546875" style="1328" customWidth="1"/>
    <col min="3850" max="3850" width="15.5703125" style="1328" customWidth="1"/>
    <col min="3851" max="3851" width="16.140625" style="1328" customWidth="1"/>
    <col min="3852" max="3853" width="15" style="1328" customWidth="1"/>
    <col min="3854" max="3854" width="13.5703125" style="1328" customWidth="1"/>
    <col min="3855" max="3855" width="15" style="1328" customWidth="1"/>
    <col min="3856" max="3857" width="17.5703125" style="1328" customWidth="1"/>
    <col min="3858" max="3858" width="33" style="1328" customWidth="1"/>
    <col min="3859" max="3859" width="15" style="1328" customWidth="1"/>
    <col min="3860" max="3861" width="14.5703125" style="1328" bestFit="1" customWidth="1"/>
    <col min="3862" max="3862" width="10.5703125" style="1328" bestFit="1" customWidth="1"/>
    <col min="3863" max="4096" width="10" style="1328"/>
    <col min="4097" max="4097" width="9.42578125" style="1328" customWidth="1"/>
    <col min="4098" max="4098" width="20.85546875" style="1328" customWidth="1"/>
    <col min="4099" max="4099" width="35.5703125" style="1328" customWidth="1"/>
    <col min="4100" max="4100" width="12.85546875" style="1328" customWidth="1"/>
    <col min="4101" max="4101" width="10.42578125" style="1328" customWidth="1"/>
    <col min="4102" max="4102" width="16.42578125" style="1328" customWidth="1"/>
    <col min="4103" max="4103" width="12" style="1328" customWidth="1"/>
    <col min="4104" max="4104" width="14.28515625" style="1328" bestFit="1" customWidth="1"/>
    <col min="4105" max="4105" width="18.85546875" style="1328" customWidth="1"/>
    <col min="4106" max="4106" width="15.5703125" style="1328" customWidth="1"/>
    <col min="4107" max="4107" width="16.140625" style="1328" customWidth="1"/>
    <col min="4108" max="4109" width="15" style="1328" customWidth="1"/>
    <col min="4110" max="4110" width="13.5703125" style="1328" customWidth="1"/>
    <col min="4111" max="4111" width="15" style="1328" customWidth="1"/>
    <col min="4112" max="4113" width="17.5703125" style="1328" customWidth="1"/>
    <col min="4114" max="4114" width="33" style="1328" customWidth="1"/>
    <col min="4115" max="4115" width="15" style="1328" customWidth="1"/>
    <col min="4116" max="4117" width="14.5703125" style="1328" bestFit="1" customWidth="1"/>
    <col min="4118" max="4118" width="10.5703125" style="1328" bestFit="1" customWidth="1"/>
    <col min="4119" max="4352" width="10" style="1328"/>
    <col min="4353" max="4353" width="9.42578125" style="1328" customWidth="1"/>
    <col min="4354" max="4354" width="20.85546875" style="1328" customWidth="1"/>
    <col min="4355" max="4355" width="35.5703125" style="1328" customWidth="1"/>
    <col min="4356" max="4356" width="12.85546875" style="1328" customWidth="1"/>
    <col min="4357" max="4357" width="10.42578125" style="1328" customWidth="1"/>
    <col min="4358" max="4358" width="16.42578125" style="1328" customWidth="1"/>
    <col min="4359" max="4359" width="12" style="1328" customWidth="1"/>
    <col min="4360" max="4360" width="14.28515625" style="1328" bestFit="1" customWidth="1"/>
    <col min="4361" max="4361" width="18.85546875" style="1328" customWidth="1"/>
    <col min="4362" max="4362" width="15.5703125" style="1328" customWidth="1"/>
    <col min="4363" max="4363" width="16.140625" style="1328" customWidth="1"/>
    <col min="4364" max="4365" width="15" style="1328" customWidth="1"/>
    <col min="4366" max="4366" width="13.5703125" style="1328" customWidth="1"/>
    <col min="4367" max="4367" width="15" style="1328" customWidth="1"/>
    <col min="4368" max="4369" width="17.5703125" style="1328" customWidth="1"/>
    <col min="4370" max="4370" width="33" style="1328" customWidth="1"/>
    <col min="4371" max="4371" width="15" style="1328" customWidth="1"/>
    <col min="4372" max="4373" width="14.5703125" style="1328" bestFit="1" customWidth="1"/>
    <col min="4374" max="4374" width="10.5703125" style="1328" bestFit="1" customWidth="1"/>
    <col min="4375" max="4608" width="10" style="1328"/>
    <col min="4609" max="4609" width="9.42578125" style="1328" customWidth="1"/>
    <col min="4610" max="4610" width="20.85546875" style="1328" customWidth="1"/>
    <col min="4611" max="4611" width="35.5703125" style="1328" customWidth="1"/>
    <col min="4612" max="4612" width="12.85546875" style="1328" customWidth="1"/>
    <col min="4613" max="4613" width="10.42578125" style="1328" customWidth="1"/>
    <col min="4614" max="4614" width="16.42578125" style="1328" customWidth="1"/>
    <col min="4615" max="4615" width="12" style="1328" customWidth="1"/>
    <col min="4616" max="4616" width="14.28515625" style="1328" bestFit="1" customWidth="1"/>
    <col min="4617" max="4617" width="18.85546875" style="1328" customWidth="1"/>
    <col min="4618" max="4618" width="15.5703125" style="1328" customWidth="1"/>
    <col min="4619" max="4619" width="16.140625" style="1328" customWidth="1"/>
    <col min="4620" max="4621" width="15" style="1328" customWidth="1"/>
    <col min="4622" max="4622" width="13.5703125" style="1328" customWidth="1"/>
    <col min="4623" max="4623" width="15" style="1328" customWidth="1"/>
    <col min="4624" max="4625" width="17.5703125" style="1328" customWidth="1"/>
    <col min="4626" max="4626" width="33" style="1328" customWidth="1"/>
    <col min="4627" max="4627" width="15" style="1328" customWidth="1"/>
    <col min="4628" max="4629" width="14.5703125" style="1328" bestFit="1" customWidth="1"/>
    <col min="4630" max="4630" width="10.5703125" style="1328" bestFit="1" customWidth="1"/>
    <col min="4631" max="4864" width="10" style="1328"/>
    <col min="4865" max="4865" width="9.42578125" style="1328" customWidth="1"/>
    <col min="4866" max="4866" width="20.85546875" style="1328" customWidth="1"/>
    <col min="4867" max="4867" width="35.5703125" style="1328" customWidth="1"/>
    <col min="4868" max="4868" width="12.85546875" style="1328" customWidth="1"/>
    <col min="4869" max="4869" width="10.42578125" style="1328" customWidth="1"/>
    <col min="4870" max="4870" width="16.42578125" style="1328" customWidth="1"/>
    <col min="4871" max="4871" width="12" style="1328" customWidth="1"/>
    <col min="4872" max="4872" width="14.28515625" style="1328" bestFit="1" customWidth="1"/>
    <col min="4873" max="4873" width="18.85546875" style="1328" customWidth="1"/>
    <col min="4874" max="4874" width="15.5703125" style="1328" customWidth="1"/>
    <col min="4875" max="4875" width="16.140625" style="1328" customWidth="1"/>
    <col min="4876" max="4877" width="15" style="1328" customWidth="1"/>
    <col min="4878" max="4878" width="13.5703125" style="1328" customWidth="1"/>
    <col min="4879" max="4879" width="15" style="1328" customWidth="1"/>
    <col min="4880" max="4881" width="17.5703125" style="1328" customWidth="1"/>
    <col min="4882" max="4882" width="33" style="1328" customWidth="1"/>
    <col min="4883" max="4883" width="15" style="1328" customWidth="1"/>
    <col min="4884" max="4885" width="14.5703125" style="1328" bestFit="1" customWidth="1"/>
    <col min="4886" max="4886" width="10.5703125" style="1328" bestFit="1" customWidth="1"/>
    <col min="4887" max="5120" width="10" style="1328"/>
    <col min="5121" max="5121" width="9.42578125" style="1328" customWidth="1"/>
    <col min="5122" max="5122" width="20.85546875" style="1328" customWidth="1"/>
    <col min="5123" max="5123" width="35.5703125" style="1328" customWidth="1"/>
    <col min="5124" max="5124" width="12.85546875" style="1328" customWidth="1"/>
    <col min="5125" max="5125" width="10.42578125" style="1328" customWidth="1"/>
    <col min="5126" max="5126" width="16.42578125" style="1328" customWidth="1"/>
    <col min="5127" max="5127" width="12" style="1328" customWidth="1"/>
    <col min="5128" max="5128" width="14.28515625" style="1328" bestFit="1" customWidth="1"/>
    <col min="5129" max="5129" width="18.85546875" style="1328" customWidth="1"/>
    <col min="5130" max="5130" width="15.5703125" style="1328" customWidth="1"/>
    <col min="5131" max="5131" width="16.140625" style="1328" customWidth="1"/>
    <col min="5132" max="5133" width="15" style="1328" customWidth="1"/>
    <col min="5134" max="5134" width="13.5703125" style="1328" customWidth="1"/>
    <col min="5135" max="5135" width="15" style="1328" customWidth="1"/>
    <col min="5136" max="5137" width="17.5703125" style="1328" customWidth="1"/>
    <col min="5138" max="5138" width="33" style="1328" customWidth="1"/>
    <col min="5139" max="5139" width="15" style="1328" customWidth="1"/>
    <col min="5140" max="5141" width="14.5703125" style="1328" bestFit="1" customWidth="1"/>
    <col min="5142" max="5142" width="10.5703125" style="1328" bestFit="1" customWidth="1"/>
    <col min="5143" max="5376" width="10" style="1328"/>
    <col min="5377" max="5377" width="9.42578125" style="1328" customWidth="1"/>
    <col min="5378" max="5378" width="20.85546875" style="1328" customWidth="1"/>
    <col min="5379" max="5379" width="35.5703125" style="1328" customWidth="1"/>
    <col min="5380" max="5380" width="12.85546875" style="1328" customWidth="1"/>
    <col min="5381" max="5381" width="10.42578125" style="1328" customWidth="1"/>
    <col min="5382" max="5382" width="16.42578125" style="1328" customWidth="1"/>
    <col min="5383" max="5383" width="12" style="1328" customWidth="1"/>
    <col min="5384" max="5384" width="14.28515625" style="1328" bestFit="1" customWidth="1"/>
    <col min="5385" max="5385" width="18.85546875" style="1328" customWidth="1"/>
    <col min="5386" max="5386" width="15.5703125" style="1328" customWidth="1"/>
    <col min="5387" max="5387" width="16.140625" style="1328" customWidth="1"/>
    <col min="5388" max="5389" width="15" style="1328" customWidth="1"/>
    <col min="5390" max="5390" width="13.5703125" style="1328" customWidth="1"/>
    <col min="5391" max="5391" width="15" style="1328" customWidth="1"/>
    <col min="5392" max="5393" width="17.5703125" style="1328" customWidth="1"/>
    <col min="5394" max="5394" width="33" style="1328" customWidth="1"/>
    <col min="5395" max="5395" width="15" style="1328" customWidth="1"/>
    <col min="5396" max="5397" width="14.5703125" style="1328" bestFit="1" customWidth="1"/>
    <col min="5398" max="5398" width="10.5703125" style="1328" bestFit="1" customWidth="1"/>
    <col min="5399" max="5632" width="10" style="1328"/>
    <col min="5633" max="5633" width="9.42578125" style="1328" customWidth="1"/>
    <col min="5634" max="5634" width="20.85546875" style="1328" customWidth="1"/>
    <col min="5635" max="5635" width="35.5703125" style="1328" customWidth="1"/>
    <col min="5636" max="5636" width="12.85546875" style="1328" customWidth="1"/>
    <col min="5637" max="5637" width="10.42578125" style="1328" customWidth="1"/>
    <col min="5638" max="5638" width="16.42578125" style="1328" customWidth="1"/>
    <col min="5639" max="5639" width="12" style="1328" customWidth="1"/>
    <col min="5640" max="5640" width="14.28515625" style="1328" bestFit="1" customWidth="1"/>
    <col min="5641" max="5641" width="18.85546875" style="1328" customWidth="1"/>
    <col min="5642" max="5642" width="15.5703125" style="1328" customWidth="1"/>
    <col min="5643" max="5643" width="16.140625" style="1328" customWidth="1"/>
    <col min="5644" max="5645" width="15" style="1328" customWidth="1"/>
    <col min="5646" max="5646" width="13.5703125" style="1328" customWidth="1"/>
    <col min="5647" max="5647" width="15" style="1328" customWidth="1"/>
    <col min="5648" max="5649" width="17.5703125" style="1328" customWidth="1"/>
    <col min="5650" max="5650" width="33" style="1328" customWidth="1"/>
    <col min="5651" max="5651" width="15" style="1328" customWidth="1"/>
    <col min="5652" max="5653" width="14.5703125" style="1328" bestFit="1" customWidth="1"/>
    <col min="5654" max="5654" width="10.5703125" style="1328" bestFit="1" customWidth="1"/>
    <col min="5655" max="5888" width="10" style="1328"/>
    <col min="5889" max="5889" width="9.42578125" style="1328" customWidth="1"/>
    <col min="5890" max="5890" width="20.85546875" style="1328" customWidth="1"/>
    <col min="5891" max="5891" width="35.5703125" style="1328" customWidth="1"/>
    <col min="5892" max="5892" width="12.85546875" style="1328" customWidth="1"/>
    <col min="5893" max="5893" width="10.42578125" style="1328" customWidth="1"/>
    <col min="5894" max="5894" width="16.42578125" style="1328" customWidth="1"/>
    <col min="5895" max="5895" width="12" style="1328" customWidth="1"/>
    <col min="5896" max="5896" width="14.28515625" style="1328" bestFit="1" customWidth="1"/>
    <col min="5897" max="5897" width="18.85546875" style="1328" customWidth="1"/>
    <col min="5898" max="5898" width="15.5703125" style="1328" customWidth="1"/>
    <col min="5899" max="5899" width="16.140625" style="1328" customWidth="1"/>
    <col min="5900" max="5901" width="15" style="1328" customWidth="1"/>
    <col min="5902" max="5902" width="13.5703125" style="1328" customWidth="1"/>
    <col min="5903" max="5903" width="15" style="1328" customWidth="1"/>
    <col min="5904" max="5905" width="17.5703125" style="1328" customWidth="1"/>
    <col min="5906" max="5906" width="33" style="1328" customWidth="1"/>
    <col min="5907" max="5907" width="15" style="1328" customWidth="1"/>
    <col min="5908" max="5909" width="14.5703125" style="1328" bestFit="1" customWidth="1"/>
    <col min="5910" max="5910" width="10.5703125" style="1328" bestFit="1" customWidth="1"/>
    <col min="5911" max="6144" width="10" style="1328"/>
    <col min="6145" max="6145" width="9.42578125" style="1328" customWidth="1"/>
    <col min="6146" max="6146" width="20.85546875" style="1328" customWidth="1"/>
    <col min="6147" max="6147" width="35.5703125" style="1328" customWidth="1"/>
    <col min="6148" max="6148" width="12.85546875" style="1328" customWidth="1"/>
    <col min="6149" max="6149" width="10.42578125" style="1328" customWidth="1"/>
    <col min="6150" max="6150" width="16.42578125" style="1328" customWidth="1"/>
    <col min="6151" max="6151" width="12" style="1328" customWidth="1"/>
    <col min="6152" max="6152" width="14.28515625" style="1328" bestFit="1" customWidth="1"/>
    <col min="6153" max="6153" width="18.85546875" style="1328" customWidth="1"/>
    <col min="6154" max="6154" width="15.5703125" style="1328" customWidth="1"/>
    <col min="6155" max="6155" width="16.140625" style="1328" customWidth="1"/>
    <col min="6156" max="6157" width="15" style="1328" customWidth="1"/>
    <col min="6158" max="6158" width="13.5703125" style="1328" customWidth="1"/>
    <col min="6159" max="6159" width="15" style="1328" customWidth="1"/>
    <col min="6160" max="6161" width="17.5703125" style="1328" customWidth="1"/>
    <col min="6162" max="6162" width="33" style="1328" customWidth="1"/>
    <col min="6163" max="6163" width="15" style="1328" customWidth="1"/>
    <col min="6164" max="6165" width="14.5703125" style="1328" bestFit="1" customWidth="1"/>
    <col min="6166" max="6166" width="10.5703125" style="1328" bestFit="1" customWidth="1"/>
    <col min="6167" max="6400" width="10" style="1328"/>
    <col min="6401" max="6401" width="9.42578125" style="1328" customWidth="1"/>
    <col min="6402" max="6402" width="20.85546875" style="1328" customWidth="1"/>
    <col min="6403" max="6403" width="35.5703125" style="1328" customWidth="1"/>
    <col min="6404" max="6404" width="12.85546875" style="1328" customWidth="1"/>
    <col min="6405" max="6405" width="10.42578125" style="1328" customWidth="1"/>
    <col min="6406" max="6406" width="16.42578125" style="1328" customWidth="1"/>
    <col min="6407" max="6407" width="12" style="1328" customWidth="1"/>
    <col min="6408" max="6408" width="14.28515625" style="1328" bestFit="1" customWidth="1"/>
    <col min="6409" max="6409" width="18.85546875" style="1328" customWidth="1"/>
    <col min="6410" max="6410" width="15.5703125" style="1328" customWidth="1"/>
    <col min="6411" max="6411" width="16.140625" style="1328" customWidth="1"/>
    <col min="6412" max="6413" width="15" style="1328" customWidth="1"/>
    <col min="6414" max="6414" width="13.5703125" style="1328" customWidth="1"/>
    <col min="6415" max="6415" width="15" style="1328" customWidth="1"/>
    <col min="6416" max="6417" width="17.5703125" style="1328" customWidth="1"/>
    <col min="6418" max="6418" width="33" style="1328" customWidth="1"/>
    <col min="6419" max="6419" width="15" style="1328" customWidth="1"/>
    <col min="6420" max="6421" width="14.5703125" style="1328" bestFit="1" customWidth="1"/>
    <col min="6422" max="6422" width="10.5703125" style="1328" bestFit="1" customWidth="1"/>
    <col min="6423" max="6656" width="10" style="1328"/>
    <col min="6657" max="6657" width="9.42578125" style="1328" customWidth="1"/>
    <col min="6658" max="6658" width="20.85546875" style="1328" customWidth="1"/>
    <col min="6659" max="6659" width="35.5703125" style="1328" customWidth="1"/>
    <col min="6660" max="6660" width="12.85546875" style="1328" customWidth="1"/>
    <col min="6661" max="6661" width="10.42578125" style="1328" customWidth="1"/>
    <col min="6662" max="6662" width="16.42578125" style="1328" customWidth="1"/>
    <col min="6663" max="6663" width="12" style="1328" customWidth="1"/>
    <col min="6664" max="6664" width="14.28515625" style="1328" bestFit="1" customWidth="1"/>
    <col min="6665" max="6665" width="18.85546875" style="1328" customWidth="1"/>
    <col min="6666" max="6666" width="15.5703125" style="1328" customWidth="1"/>
    <col min="6667" max="6667" width="16.140625" style="1328" customWidth="1"/>
    <col min="6668" max="6669" width="15" style="1328" customWidth="1"/>
    <col min="6670" max="6670" width="13.5703125" style="1328" customWidth="1"/>
    <col min="6671" max="6671" width="15" style="1328" customWidth="1"/>
    <col min="6672" max="6673" width="17.5703125" style="1328" customWidth="1"/>
    <col min="6674" max="6674" width="33" style="1328" customWidth="1"/>
    <col min="6675" max="6675" width="15" style="1328" customWidth="1"/>
    <col min="6676" max="6677" width="14.5703125" style="1328" bestFit="1" customWidth="1"/>
    <col min="6678" max="6678" width="10.5703125" style="1328" bestFit="1" customWidth="1"/>
    <col min="6679" max="6912" width="10" style="1328"/>
    <col min="6913" max="6913" width="9.42578125" style="1328" customWidth="1"/>
    <col min="6914" max="6914" width="20.85546875" style="1328" customWidth="1"/>
    <col min="6915" max="6915" width="35.5703125" style="1328" customWidth="1"/>
    <col min="6916" max="6916" width="12.85546875" style="1328" customWidth="1"/>
    <col min="6917" max="6917" width="10.42578125" style="1328" customWidth="1"/>
    <col min="6918" max="6918" width="16.42578125" style="1328" customWidth="1"/>
    <col min="6919" max="6919" width="12" style="1328" customWidth="1"/>
    <col min="6920" max="6920" width="14.28515625" style="1328" bestFit="1" customWidth="1"/>
    <col min="6921" max="6921" width="18.85546875" style="1328" customWidth="1"/>
    <col min="6922" max="6922" width="15.5703125" style="1328" customWidth="1"/>
    <col min="6923" max="6923" width="16.140625" style="1328" customWidth="1"/>
    <col min="6924" max="6925" width="15" style="1328" customWidth="1"/>
    <col min="6926" max="6926" width="13.5703125" style="1328" customWidth="1"/>
    <col min="6927" max="6927" width="15" style="1328" customWidth="1"/>
    <col min="6928" max="6929" width="17.5703125" style="1328" customWidth="1"/>
    <col min="6930" max="6930" width="33" style="1328" customWidth="1"/>
    <col min="6931" max="6931" width="15" style="1328" customWidth="1"/>
    <col min="6932" max="6933" width="14.5703125" style="1328" bestFit="1" customWidth="1"/>
    <col min="6934" max="6934" width="10.5703125" style="1328" bestFit="1" customWidth="1"/>
    <col min="6935" max="7168" width="10" style="1328"/>
    <col min="7169" max="7169" width="9.42578125" style="1328" customWidth="1"/>
    <col min="7170" max="7170" width="20.85546875" style="1328" customWidth="1"/>
    <col min="7171" max="7171" width="35.5703125" style="1328" customWidth="1"/>
    <col min="7172" max="7172" width="12.85546875" style="1328" customWidth="1"/>
    <col min="7173" max="7173" width="10.42578125" style="1328" customWidth="1"/>
    <col min="7174" max="7174" width="16.42578125" style="1328" customWidth="1"/>
    <col min="7175" max="7175" width="12" style="1328" customWidth="1"/>
    <col min="7176" max="7176" width="14.28515625" style="1328" bestFit="1" customWidth="1"/>
    <col min="7177" max="7177" width="18.85546875" style="1328" customWidth="1"/>
    <col min="7178" max="7178" width="15.5703125" style="1328" customWidth="1"/>
    <col min="7179" max="7179" width="16.140625" style="1328" customWidth="1"/>
    <col min="7180" max="7181" width="15" style="1328" customWidth="1"/>
    <col min="7182" max="7182" width="13.5703125" style="1328" customWidth="1"/>
    <col min="7183" max="7183" width="15" style="1328" customWidth="1"/>
    <col min="7184" max="7185" width="17.5703125" style="1328" customWidth="1"/>
    <col min="7186" max="7186" width="33" style="1328" customWidth="1"/>
    <col min="7187" max="7187" width="15" style="1328" customWidth="1"/>
    <col min="7188" max="7189" width="14.5703125" style="1328" bestFit="1" customWidth="1"/>
    <col min="7190" max="7190" width="10.5703125" style="1328" bestFit="1" customWidth="1"/>
    <col min="7191" max="7424" width="10" style="1328"/>
    <col min="7425" max="7425" width="9.42578125" style="1328" customWidth="1"/>
    <col min="7426" max="7426" width="20.85546875" style="1328" customWidth="1"/>
    <col min="7427" max="7427" width="35.5703125" style="1328" customWidth="1"/>
    <col min="7428" max="7428" width="12.85546875" style="1328" customWidth="1"/>
    <col min="7429" max="7429" width="10.42578125" style="1328" customWidth="1"/>
    <col min="7430" max="7430" width="16.42578125" style="1328" customWidth="1"/>
    <col min="7431" max="7431" width="12" style="1328" customWidth="1"/>
    <col min="7432" max="7432" width="14.28515625" style="1328" bestFit="1" customWidth="1"/>
    <col min="7433" max="7433" width="18.85546875" style="1328" customWidth="1"/>
    <col min="7434" max="7434" width="15.5703125" style="1328" customWidth="1"/>
    <col min="7435" max="7435" width="16.140625" style="1328" customWidth="1"/>
    <col min="7436" max="7437" width="15" style="1328" customWidth="1"/>
    <col min="7438" max="7438" width="13.5703125" style="1328" customWidth="1"/>
    <col min="7439" max="7439" width="15" style="1328" customWidth="1"/>
    <col min="7440" max="7441" width="17.5703125" style="1328" customWidth="1"/>
    <col min="7442" max="7442" width="33" style="1328" customWidth="1"/>
    <col min="7443" max="7443" width="15" style="1328" customWidth="1"/>
    <col min="7444" max="7445" width="14.5703125" style="1328" bestFit="1" customWidth="1"/>
    <col min="7446" max="7446" width="10.5703125" style="1328" bestFit="1" customWidth="1"/>
    <col min="7447" max="7680" width="10" style="1328"/>
    <col min="7681" max="7681" width="9.42578125" style="1328" customWidth="1"/>
    <col min="7682" max="7682" width="20.85546875" style="1328" customWidth="1"/>
    <col min="7683" max="7683" width="35.5703125" style="1328" customWidth="1"/>
    <col min="7684" max="7684" width="12.85546875" style="1328" customWidth="1"/>
    <col min="7685" max="7685" width="10.42578125" style="1328" customWidth="1"/>
    <col min="7686" max="7686" width="16.42578125" style="1328" customWidth="1"/>
    <col min="7687" max="7687" width="12" style="1328" customWidth="1"/>
    <col min="7688" max="7688" width="14.28515625" style="1328" bestFit="1" customWidth="1"/>
    <col min="7689" max="7689" width="18.85546875" style="1328" customWidth="1"/>
    <col min="7690" max="7690" width="15.5703125" style="1328" customWidth="1"/>
    <col min="7691" max="7691" width="16.140625" style="1328" customWidth="1"/>
    <col min="7692" max="7693" width="15" style="1328" customWidth="1"/>
    <col min="7694" max="7694" width="13.5703125" style="1328" customWidth="1"/>
    <col min="7695" max="7695" width="15" style="1328" customWidth="1"/>
    <col min="7696" max="7697" width="17.5703125" style="1328" customWidth="1"/>
    <col min="7698" max="7698" width="33" style="1328" customWidth="1"/>
    <col min="7699" max="7699" width="15" style="1328" customWidth="1"/>
    <col min="7700" max="7701" width="14.5703125" style="1328" bestFit="1" customWidth="1"/>
    <col min="7702" max="7702" width="10.5703125" style="1328" bestFit="1" customWidth="1"/>
    <col min="7703" max="7936" width="10" style="1328"/>
    <col min="7937" max="7937" width="9.42578125" style="1328" customWidth="1"/>
    <col min="7938" max="7938" width="20.85546875" style="1328" customWidth="1"/>
    <col min="7939" max="7939" width="35.5703125" style="1328" customWidth="1"/>
    <col min="7940" max="7940" width="12.85546875" style="1328" customWidth="1"/>
    <col min="7941" max="7941" width="10.42578125" style="1328" customWidth="1"/>
    <col min="7942" max="7942" width="16.42578125" style="1328" customWidth="1"/>
    <col min="7943" max="7943" width="12" style="1328" customWidth="1"/>
    <col min="7944" max="7944" width="14.28515625" style="1328" bestFit="1" customWidth="1"/>
    <col min="7945" max="7945" width="18.85546875" style="1328" customWidth="1"/>
    <col min="7946" max="7946" width="15.5703125" style="1328" customWidth="1"/>
    <col min="7947" max="7947" width="16.140625" style="1328" customWidth="1"/>
    <col min="7948" max="7949" width="15" style="1328" customWidth="1"/>
    <col min="7950" max="7950" width="13.5703125" style="1328" customWidth="1"/>
    <col min="7951" max="7951" width="15" style="1328" customWidth="1"/>
    <col min="7952" max="7953" width="17.5703125" style="1328" customWidth="1"/>
    <col min="7954" max="7954" width="33" style="1328" customWidth="1"/>
    <col min="7955" max="7955" width="15" style="1328" customWidth="1"/>
    <col min="7956" max="7957" width="14.5703125" style="1328" bestFit="1" customWidth="1"/>
    <col min="7958" max="7958" width="10.5703125" style="1328" bestFit="1" customWidth="1"/>
    <col min="7959" max="8192" width="10" style="1328"/>
    <col min="8193" max="8193" width="9.42578125" style="1328" customWidth="1"/>
    <col min="8194" max="8194" width="20.85546875" style="1328" customWidth="1"/>
    <col min="8195" max="8195" width="35.5703125" style="1328" customWidth="1"/>
    <col min="8196" max="8196" width="12.85546875" style="1328" customWidth="1"/>
    <col min="8197" max="8197" width="10.42578125" style="1328" customWidth="1"/>
    <col min="8198" max="8198" width="16.42578125" style="1328" customWidth="1"/>
    <col min="8199" max="8199" width="12" style="1328" customWidth="1"/>
    <col min="8200" max="8200" width="14.28515625" style="1328" bestFit="1" customWidth="1"/>
    <col min="8201" max="8201" width="18.85546875" style="1328" customWidth="1"/>
    <col min="8202" max="8202" width="15.5703125" style="1328" customWidth="1"/>
    <col min="8203" max="8203" width="16.140625" style="1328" customWidth="1"/>
    <col min="8204" max="8205" width="15" style="1328" customWidth="1"/>
    <col min="8206" max="8206" width="13.5703125" style="1328" customWidth="1"/>
    <col min="8207" max="8207" width="15" style="1328" customWidth="1"/>
    <col min="8208" max="8209" width="17.5703125" style="1328" customWidth="1"/>
    <col min="8210" max="8210" width="33" style="1328" customWidth="1"/>
    <col min="8211" max="8211" width="15" style="1328" customWidth="1"/>
    <col min="8212" max="8213" width="14.5703125" style="1328" bestFit="1" customWidth="1"/>
    <col min="8214" max="8214" width="10.5703125" style="1328" bestFit="1" customWidth="1"/>
    <col min="8215" max="8448" width="10" style="1328"/>
    <col min="8449" max="8449" width="9.42578125" style="1328" customWidth="1"/>
    <col min="8450" max="8450" width="20.85546875" style="1328" customWidth="1"/>
    <col min="8451" max="8451" width="35.5703125" style="1328" customWidth="1"/>
    <col min="8452" max="8452" width="12.85546875" style="1328" customWidth="1"/>
    <col min="8453" max="8453" width="10.42578125" style="1328" customWidth="1"/>
    <col min="8454" max="8454" width="16.42578125" style="1328" customWidth="1"/>
    <col min="8455" max="8455" width="12" style="1328" customWidth="1"/>
    <col min="8456" max="8456" width="14.28515625" style="1328" bestFit="1" customWidth="1"/>
    <col min="8457" max="8457" width="18.85546875" style="1328" customWidth="1"/>
    <col min="8458" max="8458" width="15.5703125" style="1328" customWidth="1"/>
    <col min="8459" max="8459" width="16.140625" style="1328" customWidth="1"/>
    <col min="8460" max="8461" width="15" style="1328" customWidth="1"/>
    <col min="8462" max="8462" width="13.5703125" style="1328" customWidth="1"/>
    <col min="8463" max="8463" width="15" style="1328" customWidth="1"/>
    <col min="8464" max="8465" width="17.5703125" style="1328" customWidth="1"/>
    <col min="8466" max="8466" width="33" style="1328" customWidth="1"/>
    <col min="8467" max="8467" width="15" style="1328" customWidth="1"/>
    <col min="8468" max="8469" width="14.5703125" style="1328" bestFit="1" customWidth="1"/>
    <col min="8470" max="8470" width="10.5703125" style="1328" bestFit="1" customWidth="1"/>
    <col min="8471" max="8704" width="10" style="1328"/>
    <col min="8705" max="8705" width="9.42578125" style="1328" customWidth="1"/>
    <col min="8706" max="8706" width="20.85546875" style="1328" customWidth="1"/>
    <col min="8707" max="8707" width="35.5703125" style="1328" customWidth="1"/>
    <col min="8708" max="8708" width="12.85546875" style="1328" customWidth="1"/>
    <col min="8709" max="8709" width="10.42578125" style="1328" customWidth="1"/>
    <col min="8710" max="8710" width="16.42578125" style="1328" customWidth="1"/>
    <col min="8711" max="8711" width="12" style="1328" customWidth="1"/>
    <col min="8712" max="8712" width="14.28515625" style="1328" bestFit="1" customWidth="1"/>
    <col min="8713" max="8713" width="18.85546875" style="1328" customWidth="1"/>
    <col min="8714" max="8714" width="15.5703125" style="1328" customWidth="1"/>
    <col min="8715" max="8715" width="16.140625" style="1328" customWidth="1"/>
    <col min="8716" max="8717" width="15" style="1328" customWidth="1"/>
    <col min="8718" max="8718" width="13.5703125" style="1328" customWidth="1"/>
    <col min="8719" max="8719" width="15" style="1328" customWidth="1"/>
    <col min="8720" max="8721" width="17.5703125" style="1328" customWidth="1"/>
    <col min="8722" max="8722" width="33" style="1328" customWidth="1"/>
    <col min="8723" max="8723" width="15" style="1328" customWidth="1"/>
    <col min="8724" max="8725" width="14.5703125" style="1328" bestFit="1" customWidth="1"/>
    <col min="8726" max="8726" width="10.5703125" style="1328" bestFit="1" customWidth="1"/>
    <col min="8727" max="8960" width="10" style="1328"/>
    <col min="8961" max="8961" width="9.42578125" style="1328" customWidth="1"/>
    <col min="8962" max="8962" width="20.85546875" style="1328" customWidth="1"/>
    <col min="8963" max="8963" width="35.5703125" style="1328" customWidth="1"/>
    <col min="8964" max="8964" width="12.85546875" style="1328" customWidth="1"/>
    <col min="8965" max="8965" width="10.42578125" style="1328" customWidth="1"/>
    <col min="8966" max="8966" width="16.42578125" style="1328" customWidth="1"/>
    <col min="8967" max="8967" width="12" style="1328" customWidth="1"/>
    <col min="8968" max="8968" width="14.28515625" style="1328" bestFit="1" customWidth="1"/>
    <col min="8969" max="8969" width="18.85546875" style="1328" customWidth="1"/>
    <col min="8970" max="8970" width="15.5703125" style="1328" customWidth="1"/>
    <col min="8971" max="8971" width="16.140625" style="1328" customWidth="1"/>
    <col min="8972" max="8973" width="15" style="1328" customWidth="1"/>
    <col min="8974" max="8974" width="13.5703125" style="1328" customWidth="1"/>
    <col min="8975" max="8975" width="15" style="1328" customWidth="1"/>
    <col min="8976" max="8977" width="17.5703125" style="1328" customWidth="1"/>
    <col min="8978" max="8978" width="33" style="1328" customWidth="1"/>
    <col min="8979" max="8979" width="15" style="1328" customWidth="1"/>
    <col min="8980" max="8981" width="14.5703125" style="1328" bestFit="1" customWidth="1"/>
    <col min="8982" max="8982" width="10.5703125" style="1328" bestFit="1" customWidth="1"/>
    <col min="8983" max="9216" width="10" style="1328"/>
    <col min="9217" max="9217" width="9.42578125" style="1328" customWidth="1"/>
    <col min="9218" max="9218" width="20.85546875" style="1328" customWidth="1"/>
    <col min="9219" max="9219" width="35.5703125" style="1328" customWidth="1"/>
    <col min="9220" max="9220" width="12.85546875" style="1328" customWidth="1"/>
    <col min="9221" max="9221" width="10.42578125" style="1328" customWidth="1"/>
    <col min="9222" max="9222" width="16.42578125" style="1328" customWidth="1"/>
    <col min="9223" max="9223" width="12" style="1328" customWidth="1"/>
    <col min="9224" max="9224" width="14.28515625" style="1328" bestFit="1" customWidth="1"/>
    <col min="9225" max="9225" width="18.85546875" style="1328" customWidth="1"/>
    <col min="9226" max="9226" width="15.5703125" style="1328" customWidth="1"/>
    <col min="9227" max="9227" width="16.140625" style="1328" customWidth="1"/>
    <col min="9228" max="9229" width="15" style="1328" customWidth="1"/>
    <col min="9230" max="9230" width="13.5703125" style="1328" customWidth="1"/>
    <col min="9231" max="9231" width="15" style="1328" customWidth="1"/>
    <col min="9232" max="9233" width="17.5703125" style="1328" customWidth="1"/>
    <col min="9234" max="9234" width="33" style="1328" customWidth="1"/>
    <col min="9235" max="9235" width="15" style="1328" customWidth="1"/>
    <col min="9236" max="9237" width="14.5703125" style="1328" bestFit="1" customWidth="1"/>
    <col min="9238" max="9238" width="10.5703125" style="1328" bestFit="1" customWidth="1"/>
    <col min="9239" max="9472" width="10" style="1328"/>
    <col min="9473" max="9473" width="9.42578125" style="1328" customWidth="1"/>
    <col min="9474" max="9474" width="20.85546875" style="1328" customWidth="1"/>
    <col min="9475" max="9475" width="35.5703125" style="1328" customWidth="1"/>
    <col min="9476" max="9476" width="12.85546875" style="1328" customWidth="1"/>
    <col min="9477" max="9477" width="10.42578125" style="1328" customWidth="1"/>
    <col min="9478" max="9478" width="16.42578125" style="1328" customWidth="1"/>
    <col min="9479" max="9479" width="12" style="1328" customWidth="1"/>
    <col min="9480" max="9480" width="14.28515625" style="1328" bestFit="1" customWidth="1"/>
    <col min="9481" max="9481" width="18.85546875" style="1328" customWidth="1"/>
    <col min="9482" max="9482" width="15.5703125" style="1328" customWidth="1"/>
    <col min="9483" max="9483" width="16.140625" style="1328" customWidth="1"/>
    <col min="9484" max="9485" width="15" style="1328" customWidth="1"/>
    <col min="9486" max="9486" width="13.5703125" style="1328" customWidth="1"/>
    <col min="9487" max="9487" width="15" style="1328" customWidth="1"/>
    <col min="9488" max="9489" width="17.5703125" style="1328" customWidth="1"/>
    <col min="9490" max="9490" width="33" style="1328" customWidth="1"/>
    <col min="9491" max="9491" width="15" style="1328" customWidth="1"/>
    <col min="9492" max="9493" width="14.5703125" style="1328" bestFit="1" customWidth="1"/>
    <col min="9494" max="9494" width="10.5703125" style="1328" bestFit="1" customWidth="1"/>
    <col min="9495" max="9728" width="10" style="1328"/>
    <col min="9729" max="9729" width="9.42578125" style="1328" customWidth="1"/>
    <col min="9730" max="9730" width="20.85546875" style="1328" customWidth="1"/>
    <col min="9731" max="9731" width="35.5703125" style="1328" customWidth="1"/>
    <col min="9732" max="9732" width="12.85546875" style="1328" customWidth="1"/>
    <col min="9733" max="9733" width="10.42578125" style="1328" customWidth="1"/>
    <col min="9734" max="9734" width="16.42578125" style="1328" customWidth="1"/>
    <col min="9735" max="9735" width="12" style="1328" customWidth="1"/>
    <col min="9736" max="9736" width="14.28515625" style="1328" bestFit="1" customWidth="1"/>
    <col min="9737" max="9737" width="18.85546875" style="1328" customWidth="1"/>
    <col min="9738" max="9738" width="15.5703125" style="1328" customWidth="1"/>
    <col min="9739" max="9739" width="16.140625" style="1328" customWidth="1"/>
    <col min="9740" max="9741" width="15" style="1328" customWidth="1"/>
    <col min="9742" max="9742" width="13.5703125" style="1328" customWidth="1"/>
    <col min="9743" max="9743" width="15" style="1328" customWidth="1"/>
    <col min="9744" max="9745" width="17.5703125" style="1328" customWidth="1"/>
    <col min="9746" max="9746" width="33" style="1328" customWidth="1"/>
    <col min="9747" max="9747" width="15" style="1328" customWidth="1"/>
    <col min="9748" max="9749" width="14.5703125" style="1328" bestFit="1" customWidth="1"/>
    <col min="9750" max="9750" width="10.5703125" style="1328" bestFit="1" customWidth="1"/>
    <col min="9751" max="9984" width="10" style="1328"/>
    <col min="9985" max="9985" width="9.42578125" style="1328" customWidth="1"/>
    <col min="9986" max="9986" width="20.85546875" style="1328" customWidth="1"/>
    <col min="9987" max="9987" width="35.5703125" style="1328" customWidth="1"/>
    <col min="9988" max="9988" width="12.85546875" style="1328" customWidth="1"/>
    <col min="9989" max="9989" width="10.42578125" style="1328" customWidth="1"/>
    <col min="9990" max="9990" width="16.42578125" style="1328" customWidth="1"/>
    <col min="9991" max="9991" width="12" style="1328" customWidth="1"/>
    <col min="9992" max="9992" width="14.28515625" style="1328" bestFit="1" customWidth="1"/>
    <col min="9993" max="9993" width="18.85546875" style="1328" customWidth="1"/>
    <col min="9994" max="9994" width="15.5703125" style="1328" customWidth="1"/>
    <col min="9995" max="9995" width="16.140625" style="1328" customWidth="1"/>
    <col min="9996" max="9997" width="15" style="1328" customWidth="1"/>
    <col min="9998" max="9998" width="13.5703125" style="1328" customWidth="1"/>
    <col min="9999" max="9999" width="15" style="1328" customWidth="1"/>
    <col min="10000" max="10001" width="17.5703125" style="1328" customWidth="1"/>
    <col min="10002" max="10002" width="33" style="1328" customWidth="1"/>
    <col min="10003" max="10003" width="15" style="1328" customWidth="1"/>
    <col min="10004" max="10005" width="14.5703125" style="1328" bestFit="1" customWidth="1"/>
    <col min="10006" max="10006" width="10.5703125" style="1328" bestFit="1" customWidth="1"/>
    <col min="10007" max="10240" width="10" style="1328"/>
    <col min="10241" max="10241" width="9.42578125" style="1328" customWidth="1"/>
    <col min="10242" max="10242" width="20.85546875" style="1328" customWidth="1"/>
    <col min="10243" max="10243" width="35.5703125" style="1328" customWidth="1"/>
    <col min="10244" max="10244" width="12.85546875" style="1328" customWidth="1"/>
    <col min="10245" max="10245" width="10.42578125" style="1328" customWidth="1"/>
    <col min="10246" max="10246" width="16.42578125" style="1328" customWidth="1"/>
    <col min="10247" max="10247" width="12" style="1328" customWidth="1"/>
    <col min="10248" max="10248" width="14.28515625" style="1328" bestFit="1" customWidth="1"/>
    <col min="10249" max="10249" width="18.85546875" style="1328" customWidth="1"/>
    <col min="10250" max="10250" width="15.5703125" style="1328" customWidth="1"/>
    <col min="10251" max="10251" width="16.140625" style="1328" customWidth="1"/>
    <col min="10252" max="10253" width="15" style="1328" customWidth="1"/>
    <col min="10254" max="10254" width="13.5703125" style="1328" customWidth="1"/>
    <col min="10255" max="10255" width="15" style="1328" customWidth="1"/>
    <col min="10256" max="10257" width="17.5703125" style="1328" customWidth="1"/>
    <col min="10258" max="10258" width="33" style="1328" customWidth="1"/>
    <col min="10259" max="10259" width="15" style="1328" customWidth="1"/>
    <col min="10260" max="10261" width="14.5703125" style="1328" bestFit="1" customWidth="1"/>
    <col min="10262" max="10262" width="10.5703125" style="1328" bestFit="1" customWidth="1"/>
    <col min="10263" max="10496" width="10" style="1328"/>
    <col min="10497" max="10497" width="9.42578125" style="1328" customWidth="1"/>
    <col min="10498" max="10498" width="20.85546875" style="1328" customWidth="1"/>
    <col min="10499" max="10499" width="35.5703125" style="1328" customWidth="1"/>
    <col min="10500" max="10500" width="12.85546875" style="1328" customWidth="1"/>
    <col min="10501" max="10501" width="10.42578125" style="1328" customWidth="1"/>
    <col min="10502" max="10502" width="16.42578125" style="1328" customWidth="1"/>
    <col min="10503" max="10503" width="12" style="1328" customWidth="1"/>
    <col min="10504" max="10504" width="14.28515625" style="1328" bestFit="1" customWidth="1"/>
    <col min="10505" max="10505" width="18.85546875" style="1328" customWidth="1"/>
    <col min="10506" max="10506" width="15.5703125" style="1328" customWidth="1"/>
    <col min="10507" max="10507" width="16.140625" style="1328" customWidth="1"/>
    <col min="10508" max="10509" width="15" style="1328" customWidth="1"/>
    <col min="10510" max="10510" width="13.5703125" style="1328" customWidth="1"/>
    <col min="10511" max="10511" width="15" style="1328" customWidth="1"/>
    <col min="10512" max="10513" width="17.5703125" style="1328" customWidth="1"/>
    <col min="10514" max="10514" width="33" style="1328" customWidth="1"/>
    <col min="10515" max="10515" width="15" style="1328" customWidth="1"/>
    <col min="10516" max="10517" width="14.5703125" style="1328" bestFit="1" customWidth="1"/>
    <col min="10518" max="10518" width="10.5703125" style="1328" bestFit="1" customWidth="1"/>
    <col min="10519" max="10752" width="10" style="1328"/>
    <col min="10753" max="10753" width="9.42578125" style="1328" customWidth="1"/>
    <col min="10754" max="10754" width="20.85546875" style="1328" customWidth="1"/>
    <col min="10755" max="10755" width="35.5703125" style="1328" customWidth="1"/>
    <col min="10756" max="10756" width="12.85546875" style="1328" customWidth="1"/>
    <col min="10757" max="10757" width="10.42578125" style="1328" customWidth="1"/>
    <col min="10758" max="10758" width="16.42578125" style="1328" customWidth="1"/>
    <col min="10759" max="10759" width="12" style="1328" customWidth="1"/>
    <col min="10760" max="10760" width="14.28515625" style="1328" bestFit="1" customWidth="1"/>
    <col min="10761" max="10761" width="18.85546875" style="1328" customWidth="1"/>
    <col min="10762" max="10762" width="15.5703125" style="1328" customWidth="1"/>
    <col min="10763" max="10763" width="16.140625" style="1328" customWidth="1"/>
    <col min="10764" max="10765" width="15" style="1328" customWidth="1"/>
    <col min="10766" max="10766" width="13.5703125" style="1328" customWidth="1"/>
    <col min="10767" max="10767" width="15" style="1328" customWidth="1"/>
    <col min="10768" max="10769" width="17.5703125" style="1328" customWidth="1"/>
    <col min="10770" max="10770" width="33" style="1328" customWidth="1"/>
    <col min="10771" max="10771" width="15" style="1328" customWidth="1"/>
    <col min="10772" max="10773" width="14.5703125" style="1328" bestFit="1" customWidth="1"/>
    <col min="10774" max="10774" width="10.5703125" style="1328" bestFit="1" customWidth="1"/>
    <col min="10775" max="11008" width="10" style="1328"/>
    <col min="11009" max="11009" width="9.42578125" style="1328" customWidth="1"/>
    <col min="11010" max="11010" width="20.85546875" style="1328" customWidth="1"/>
    <col min="11011" max="11011" width="35.5703125" style="1328" customWidth="1"/>
    <col min="11012" max="11012" width="12.85546875" style="1328" customWidth="1"/>
    <col min="11013" max="11013" width="10.42578125" style="1328" customWidth="1"/>
    <col min="11014" max="11014" width="16.42578125" style="1328" customWidth="1"/>
    <col min="11015" max="11015" width="12" style="1328" customWidth="1"/>
    <col min="11016" max="11016" width="14.28515625" style="1328" bestFit="1" customWidth="1"/>
    <col min="11017" max="11017" width="18.85546875" style="1328" customWidth="1"/>
    <col min="11018" max="11018" width="15.5703125" style="1328" customWidth="1"/>
    <col min="11019" max="11019" width="16.140625" style="1328" customWidth="1"/>
    <col min="11020" max="11021" width="15" style="1328" customWidth="1"/>
    <col min="11022" max="11022" width="13.5703125" style="1328" customWidth="1"/>
    <col min="11023" max="11023" width="15" style="1328" customWidth="1"/>
    <col min="11024" max="11025" width="17.5703125" style="1328" customWidth="1"/>
    <col min="11026" max="11026" width="33" style="1328" customWidth="1"/>
    <col min="11027" max="11027" width="15" style="1328" customWidth="1"/>
    <col min="11028" max="11029" width="14.5703125" style="1328" bestFit="1" customWidth="1"/>
    <col min="11030" max="11030" width="10.5703125" style="1328" bestFit="1" customWidth="1"/>
    <col min="11031" max="11264" width="10" style="1328"/>
    <col min="11265" max="11265" width="9.42578125" style="1328" customWidth="1"/>
    <col min="11266" max="11266" width="20.85546875" style="1328" customWidth="1"/>
    <col min="11267" max="11267" width="35.5703125" style="1328" customWidth="1"/>
    <col min="11268" max="11268" width="12.85546875" style="1328" customWidth="1"/>
    <col min="11269" max="11269" width="10.42578125" style="1328" customWidth="1"/>
    <col min="11270" max="11270" width="16.42578125" style="1328" customWidth="1"/>
    <col min="11271" max="11271" width="12" style="1328" customWidth="1"/>
    <col min="11272" max="11272" width="14.28515625" style="1328" bestFit="1" customWidth="1"/>
    <col min="11273" max="11273" width="18.85546875" style="1328" customWidth="1"/>
    <col min="11274" max="11274" width="15.5703125" style="1328" customWidth="1"/>
    <col min="11275" max="11275" width="16.140625" style="1328" customWidth="1"/>
    <col min="11276" max="11277" width="15" style="1328" customWidth="1"/>
    <col min="11278" max="11278" width="13.5703125" style="1328" customWidth="1"/>
    <col min="11279" max="11279" width="15" style="1328" customWidth="1"/>
    <col min="11280" max="11281" width="17.5703125" style="1328" customWidth="1"/>
    <col min="11282" max="11282" width="33" style="1328" customWidth="1"/>
    <col min="11283" max="11283" width="15" style="1328" customWidth="1"/>
    <col min="11284" max="11285" width="14.5703125" style="1328" bestFit="1" customWidth="1"/>
    <col min="11286" max="11286" width="10.5703125" style="1328" bestFit="1" customWidth="1"/>
    <col min="11287" max="11520" width="10" style="1328"/>
    <col min="11521" max="11521" width="9.42578125" style="1328" customWidth="1"/>
    <col min="11522" max="11522" width="20.85546875" style="1328" customWidth="1"/>
    <col min="11523" max="11523" width="35.5703125" style="1328" customWidth="1"/>
    <col min="11524" max="11524" width="12.85546875" style="1328" customWidth="1"/>
    <col min="11525" max="11525" width="10.42578125" style="1328" customWidth="1"/>
    <col min="11526" max="11526" width="16.42578125" style="1328" customWidth="1"/>
    <col min="11527" max="11527" width="12" style="1328" customWidth="1"/>
    <col min="11528" max="11528" width="14.28515625" style="1328" bestFit="1" customWidth="1"/>
    <col min="11529" max="11529" width="18.85546875" style="1328" customWidth="1"/>
    <col min="11530" max="11530" width="15.5703125" style="1328" customWidth="1"/>
    <col min="11531" max="11531" width="16.140625" style="1328" customWidth="1"/>
    <col min="11532" max="11533" width="15" style="1328" customWidth="1"/>
    <col min="11534" max="11534" width="13.5703125" style="1328" customWidth="1"/>
    <col min="11535" max="11535" width="15" style="1328" customWidth="1"/>
    <col min="11536" max="11537" width="17.5703125" style="1328" customWidth="1"/>
    <col min="11538" max="11538" width="33" style="1328" customWidth="1"/>
    <col min="11539" max="11539" width="15" style="1328" customWidth="1"/>
    <col min="11540" max="11541" width="14.5703125" style="1328" bestFit="1" customWidth="1"/>
    <col min="11542" max="11542" width="10.5703125" style="1328" bestFit="1" customWidth="1"/>
    <col min="11543" max="11776" width="10" style="1328"/>
    <col min="11777" max="11777" width="9.42578125" style="1328" customWidth="1"/>
    <col min="11778" max="11778" width="20.85546875" style="1328" customWidth="1"/>
    <col min="11779" max="11779" width="35.5703125" style="1328" customWidth="1"/>
    <col min="11780" max="11780" width="12.85546875" style="1328" customWidth="1"/>
    <col min="11781" max="11781" width="10.42578125" style="1328" customWidth="1"/>
    <col min="11782" max="11782" width="16.42578125" style="1328" customWidth="1"/>
    <col min="11783" max="11783" width="12" style="1328" customWidth="1"/>
    <col min="11784" max="11784" width="14.28515625" style="1328" bestFit="1" customWidth="1"/>
    <col min="11785" max="11785" width="18.85546875" style="1328" customWidth="1"/>
    <col min="11786" max="11786" width="15.5703125" style="1328" customWidth="1"/>
    <col min="11787" max="11787" width="16.140625" style="1328" customWidth="1"/>
    <col min="11788" max="11789" width="15" style="1328" customWidth="1"/>
    <col min="11790" max="11790" width="13.5703125" style="1328" customWidth="1"/>
    <col min="11791" max="11791" width="15" style="1328" customWidth="1"/>
    <col min="11792" max="11793" width="17.5703125" style="1328" customWidth="1"/>
    <col min="11794" max="11794" width="33" style="1328" customWidth="1"/>
    <col min="11795" max="11795" width="15" style="1328" customWidth="1"/>
    <col min="11796" max="11797" width="14.5703125" style="1328" bestFit="1" customWidth="1"/>
    <col min="11798" max="11798" width="10.5703125" style="1328" bestFit="1" customWidth="1"/>
    <col min="11799" max="12032" width="10" style="1328"/>
    <col min="12033" max="12033" width="9.42578125" style="1328" customWidth="1"/>
    <col min="12034" max="12034" width="20.85546875" style="1328" customWidth="1"/>
    <col min="12035" max="12035" width="35.5703125" style="1328" customWidth="1"/>
    <col min="12036" max="12036" width="12.85546875" style="1328" customWidth="1"/>
    <col min="12037" max="12037" width="10.42578125" style="1328" customWidth="1"/>
    <col min="12038" max="12038" width="16.42578125" style="1328" customWidth="1"/>
    <col min="12039" max="12039" width="12" style="1328" customWidth="1"/>
    <col min="12040" max="12040" width="14.28515625" style="1328" bestFit="1" customWidth="1"/>
    <col min="12041" max="12041" width="18.85546875" style="1328" customWidth="1"/>
    <col min="12042" max="12042" width="15.5703125" style="1328" customWidth="1"/>
    <col min="12043" max="12043" width="16.140625" style="1328" customWidth="1"/>
    <col min="12044" max="12045" width="15" style="1328" customWidth="1"/>
    <col min="12046" max="12046" width="13.5703125" style="1328" customWidth="1"/>
    <col min="12047" max="12047" width="15" style="1328" customWidth="1"/>
    <col min="12048" max="12049" width="17.5703125" style="1328" customWidth="1"/>
    <col min="12050" max="12050" width="33" style="1328" customWidth="1"/>
    <col min="12051" max="12051" width="15" style="1328" customWidth="1"/>
    <col min="12052" max="12053" width="14.5703125" style="1328" bestFit="1" customWidth="1"/>
    <col min="12054" max="12054" width="10.5703125" style="1328" bestFit="1" customWidth="1"/>
    <col min="12055" max="12288" width="10" style="1328"/>
    <col min="12289" max="12289" width="9.42578125" style="1328" customWidth="1"/>
    <col min="12290" max="12290" width="20.85546875" style="1328" customWidth="1"/>
    <col min="12291" max="12291" width="35.5703125" style="1328" customWidth="1"/>
    <col min="12292" max="12292" width="12.85546875" style="1328" customWidth="1"/>
    <col min="12293" max="12293" width="10.42578125" style="1328" customWidth="1"/>
    <col min="12294" max="12294" width="16.42578125" style="1328" customWidth="1"/>
    <col min="12295" max="12295" width="12" style="1328" customWidth="1"/>
    <col min="12296" max="12296" width="14.28515625" style="1328" bestFit="1" customWidth="1"/>
    <col min="12297" max="12297" width="18.85546875" style="1328" customWidth="1"/>
    <col min="12298" max="12298" width="15.5703125" style="1328" customWidth="1"/>
    <col min="12299" max="12299" width="16.140625" style="1328" customWidth="1"/>
    <col min="12300" max="12301" width="15" style="1328" customWidth="1"/>
    <col min="12302" max="12302" width="13.5703125" style="1328" customWidth="1"/>
    <col min="12303" max="12303" width="15" style="1328" customWidth="1"/>
    <col min="12304" max="12305" width="17.5703125" style="1328" customWidth="1"/>
    <col min="12306" max="12306" width="33" style="1328" customWidth="1"/>
    <col min="12307" max="12307" width="15" style="1328" customWidth="1"/>
    <col min="12308" max="12309" width="14.5703125" style="1328" bestFit="1" customWidth="1"/>
    <col min="12310" max="12310" width="10.5703125" style="1328" bestFit="1" customWidth="1"/>
    <col min="12311" max="12544" width="10" style="1328"/>
    <col min="12545" max="12545" width="9.42578125" style="1328" customWidth="1"/>
    <col min="12546" max="12546" width="20.85546875" style="1328" customWidth="1"/>
    <col min="12547" max="12547" width="35.5703125" style="1328" customWidth="1"/>
    <col min="12548" max="12548" width="12.85546875" style="1328" customWidth="1"/>
    <col min="12549" max="12549" width="10.42578125" style="1328" customWidth="1"/>
    <col min="12550" max="12550" width="16.42578125" style="1328" customWidth="1"/>
    <col min="12551" max="12551" width="12" style="1328" customWidth="1"/>
    <col min="12552" max="12552" width="14.28515625" style="1328" bestFit="1" customWidth="1"/>
    <col min="12553" max="12553" width="18.85546875" style="1328" customWidth="1"/>
    <col min="12554" max="12554" width="15.5703125" style="1328" customWidth="1"/>
    <col min="12555" max="12555" width="16.140625" style="1328" customWidth="1"/>
    <col min="12556" max="12557" width="15" style="1328" customWidth="1"/>
    <col min="12558" max="12558" width="13.5703125" style="1328" customWidth="1"/>
    <col min="12559" max="12559" width="15" style="1328" customWidth="1"/>
    <col min="12560" max="12561" width="17.5703125" style="1328" customWidth="1"/>
    <col min="12562" max="12562" width="33" style="1328" customWidth="1"/>
    <col min="12563" max="12563" width="15" style="1328" customWidth="1"/>
    <col min="12564" max="12565" width="14.5703125" style="1328" bestFit="1" customWidth="1"/>
    <col min="12566" max="12566" width="10.5703125" style="1328" bestFit="1" customWidth="1"/>
    <col min="12567" max="12800" width="10" style="1328"/>
    <col min="12801" max="12801" width="9.42578125" style="1328" customWidth="1"/>
    <col min="12802" max="12802" width="20.85546875" style="1328" customWidth="1"/>
    <col min="12803" max="12803" width="35.5703125" style="1328" customWidth="1"/>
    <col min="12804" max="12804" width="12.85546875" style="1328" customWidth="1"/>
    <col min="12805" max="12805" width="10.42578125" style="1328" customWidth="1"/>
    <col min="12806" max="12806" width="16.42578125" style="1328" customWidth="1"/>
    <col min="12807" max="12807" width="12" style="1328" customWidth="1"/>
    <col min="12808" max="12808" width="14.28515625" style="1328" bestFit="1" customWidth="1"/>
    <col min="12809" max="12809" width="18.85546875" style="1328" customWidth="1"/>
    <col min="12810" max="12810" width="15.5703125" style="1328" customWidth="1"/>
    <col min="12811" max="12811" width="16.140625" style="1328" customWidth="1"/>
    <col min="12812" max="12813" width="15" style="1328" customWidth="1"/>
    <col min="12814" max="12814" width="13.5703125" style="1328" customWidth="1"/>
    <col min="12815" max="12815" width="15" style="1328" customWidth="1"/>
    <col min="12816" max="12817" width="17.5703125" style="1328" customWidth="1"/>
    <col min="12818" max="12818" width="33" style="1328" customWidth="1"/>
    <col min="12819" max="12819" width="15" style="1328" customWidth="1"/>
    <col min="12820" max="12821" width="14.5703125" style="1328" bestFit="1" customWidth="1"/>
    <col min="12822" max="12822" width="10.5703125" style="1328" bestFit="1" customWidth="1"/>
    <col min="12823" max="13056" width="10" style="1328"/>
    <col min="13057" max="13057" width="9.42578125" style="1328" customWidth="1"/>
    <col min="13058" max="13058" width="20.85546875" style="1328" customWidth="1"/>
    <col min="13059" max="13059" width="35.5703125" style="1328" customWidth="1"/>
    <col min="13060" max="13060" width="12.85546875" style="1328" customWidth="1"/>
    <col min="13061" max="13061" width="10.42578125" style="1328" customWidth="1"/>
    <col min="13062" max="13062" width="16.42578125" style="1328" customWidth="1"/>
    <col min="13063" max="13063" width="12" style="1328" customWidth="1"/>
    <col min="13064" max="13064" width="14.28515625" style="1328" bestFit="1" customWidth="1"/>
    <col min="13065" max="13065" width="18.85546875" style="1328" customWidth="1"/>
    <col min="13066" max="13066" width="15.5703125" style="1328" customWidth="1"/>
    <col min="13067" max="13067" width="16.140625" style="1328" customWidth="1"/>
    <col min="13068" max="13069" width="15" style="1328" customWidth="1"/>
    <col min="13070" max="13070" width="13.5703125" style="1328" customWidth="1"/>
    <col min="13071" max="13071" width="15" style="1328" customWidth="1"/>
    <col min="13072" max="13073" width="17.5703125" style="1328" customWidth="1"/>
    <col min="13074" max="13074" width="33" style="1328" customWidth="1"/>
    <col min="13075" max="13075" width="15" style="1328" customWidth="1"/>
    <col min="13076" max="13077" width="14.5703125" style="1328" bestFit="1" customWidth="1"/>
    <col min="13078" max="13078" width="10.5703125" style="1328" bestFit="1" customWidth="1"/>
    <col min="13079" max="13312" width="10" style="1328"/>
    <col min="13313" max="13313" width="9.42578125" style="1328" customWidth="1"/>
    <col min="13314" max="13314" width="20.85546875" style="1328" customWidth="1"/>
    <col min="13315" max="13315" width="35.5703125" style="1328" customWidth="1"/>
    <col min="13316" max="13316" width="12.85546875" style="1328" customWidth="1"/>
    <col min="13317" max="13317" width="10.42578125" style="1328" customWidth="1"/>
    <col min="13318" max="13318" width="16.42578125" style="1328" customWidth="1"/>
    <col min="13319" max="13319" width="12" style="1328" customWidth="1"/>
    <col min="13320" max="13320" width="14.28515625" style="1328" bestFit="1" customWidth="1"/>
    <col min="13321" max="13321" width="18.85546875" style="1328" customWidth="1"/>
    <col min="13322" max="13322" width="15.5703125" style="1328" customWidth="1"/>
    <col min="13323" max="13323" width="16.140625" style="1328" customWidth="1"/>
    <col min="13324" max="13325" width="15" style="1328" customWidth="1"/>
    <col min="13326" max="13326" width="13.5703125" style="1328" customWidth="1"/>
    <col min="13327" max="13327" width="15" style="1328" customWidth="1"/>
    <col min="13328" max="13329" width="17.5703125" style="1328" customWidth="1"/>
    <col min="13330" max="13330" width="33" style="1328" customWidth="1"/>
    <col min="13331" max="13331" width="15" style="1328" customWidth="1"/>
    <col min="13332" max="13333" width="14.5703125" style="1328" bestFit="1" customWidth="1"/>
    <col min="13334" max="13334" width="10.5703125" style="1328" bestFit="1" customWidth="1"/>
    <col min="13335" max="13568" width="10" style="1328"/>
    <col min="13569" max="13569" width="9.42578125" style="1328" customWidth="1"/>
    <col min="13570" max="13570" width="20.85546875" style="1328" customWidth="1"/>
    <col min="13571" max="13571" width="35.5703125" style="1328" customWidth="1"/>
    <col min="13572" max="13572" width="12.85546875" style="1328" customWidth="1"/>
    <col min="13573" max="13573" width="10.42578125" style="1328" customWidth="1"/>
    <col min="13574" max="13574" width="16.42578125" style="1328" customWidth="1"/>
    <col min="13575" max="13575" width="12" style="1328" customWidth="1"/>
    <col min="13576" max="13576" width="14.28515625" style="1328" bestFit="1" customWidth="1"/>
    <col min="13577" max="13577" width="18.85546875" style="1328" customWidth="1"/>
    <col min="13578" max="13578" width="15.5703125" style="1328" customWidth="1"/>
    <col min="13579" max="13579" width="16.140625" style="1328" customWidth="1"/>
    <col min="13580" max="13581" width="15" style="1328" customWidth="1"/>
    <col min="13582" max="13582" width="13.5703125" style="1328" customWidth="1"/>
    <col min="13583" max="13583" width="15" style="1328" customWidth="1"/>
    <col min="13584" max="13585" width="17.5703125" style="1328" customWidth="1"/>
    <col min="13586" max="13586" width="33" style="1328" customWidth="1"/>
    <col min="13587" max="13587" width="15" style="1328" customWidth="1"/>
    <col min="13588" max="13589" width="14.5703125" style="1328" bestFit="1" customWidth="1"/>
    <col min="13590" max="13590" width="10.5703125" style="1328" bestFit="1" customWidth="1"/>
    <col min="13591" max="13824" width="10" style="1328"/>
    <col min="13825" max="13825" width="9.42578125" style="1328" customWidth="1"/>
    <col min="13826" max="13826" width="20.85546875" style="1328" customWidth="1"/>
    <col min="13827" max="13827" width="35.5703125" style="1328" customWidth="1"/>
    <col min="13828" max="13828" width="12.85546875" style="1328" customWidth="1"/>
    <col min="13829" max="13829" width="10.42578125" style="1328" customWidth="1"/>
    <col min="13830" max="13830" width="16.42578125" style="1328" customWidth="1"/>
    <col min="13831" max="13831" width="12" style="1328" customWidth="1"/>
    <col min="13832" max="13832" width="14.28515625" style="1328" bestFit="1" customWidth="1"/>
    <col min="13833" max="13833" width="18.85546875" style="1328" customWidth="1"/>
    <col min="13834" max="13834" width="15.5703125" style="1328" customWidth="1"/>
    <col min="13835" max="13835" width="16.140625" style="1328" customWidth="1"/>
    <col min="13836" max="13837" width="15" style="1328" customWidth="1"/>
    <col min="13838" max="13838" width="13.5703125" style="1328" customWidth="1"/>
    <col min="13839" max="13839" width="15" style="1328" customWidth="1"/>
    <col min="13840" max="13841" width="17.5703125" style="1328" customWidth="1"/>
    <col min="13842" max="13842" width="33" style="1328" customWidth="1"/>
    <col min="13843" max="13843" width="15" style="1328" customWidth="1"/>
    <col min="13844" max="13845" width="14.5703125" style="1328" bestFit="1" customWidth="1"/>
    <col min="13846" max="13846" width="10.5703125" style="1328" bestFit="1" customWidth="1"/>
    <col min="13847" max="14080" width="10" style="1328"/>
    <col min="14081" max="14081" width="9.42578125" style="1328" customWidth="1"/>
    <col min="14082" max="14082" width="20.85546875" style="1328" customWidth="1"/>
    <col min="14083" max="14083" width="35.5703125" style="1328" customWidth="1"/>
    <col min="14084" max="14084" width="12.85546875" style="1328" customWidth="1"/>
    <col min="14085" max="14085" width="10.42578125" style="1328" customWidth="1"/>
    <col min="14086" max="14086" width="16.42578125" style="1328" customWidth="1"/>
    <col min="14087" max="14087" width="12" style="1328" customWidth="1"/>
    <col min="14088" max="14088" width="14.28515625" style="1328" bestFit="1" customWidth="1"/>
    <col min="14089" max="14089" width="18.85546875" style="1328" customWidth="1"/>
    <col min="14090" max="14090" width="15.5703125" style="1328" customWidth="1"/>
    <col min="14091" max="14091" width="16.140625" style="1328" customWidth="1"/>
    <col min="14092" max="14093" width="15" style="1328" customWidth="1"/>
    <col min="14094" max="14094" width="13.5703125" style="1328" customWidth="1"/>
    <col min="14095" max="14095" width="15" style="1328" customWidth="1"/>
    <col min="14096" max="14097" width="17.5703125" style="1328" customWidth="1"/>
    <col min="14098" max="14098" width="33" style="1328" customWidth="1"/>
    <col min="14099" max="14099" width="15" style="1328" customWidth="1"/>
    <col min="14100" max="14101" width="14.5703125" style="1328" bestFit="1" customWidth="1"/>
    <col min="14102" max="14102" width="10.5703125" style="1328" bestFit="1" customWidth="1"/>
    <col min="14103" max="14336" width="10" style="1328"/>
    <col min="14337" max="14337" width="9.42578125" style="1328" customWidth="1"/>
    <col min="14338" max="14338" width="20.85546875" style="1328" customWidth="1"/>
    <col min="14339" max="14339" width="35.5703125" style="1328" customWidth="1"/>
    <col min="14340" max="14340" width="12.85546875" style="1328" customWidth="1"/>
    <col min="14341" max="14341" width="10.42578125" style="1328" customWidth="1"/>
    <col min="14342" max="14342" width="16.42578125" style="1328" customWidth="1"/>
    <col min="14343" max="14343" width="12" style="1328" customWidth="1"/>
    <col min="14344" max="14344" width="14.28515625" style="1328" bestFit="1" customWidth="1"/>
    <col min="14345" max="14345" width="18.85546875" style="1328" customWidth="1"/>
    <col min="14346" max="14346" width="15.5703125" style="1328" customWidth="1"/>
    <col min="14347" max="14347" width="16.140625" style="1328" customWidth="1"/>
    <col min="14348" max="14349" width="15" style="1328" customWidth="1"/>
    <col min="14350" max="14350" width="13.5703125" style="1328" customWidth="1"/>
    <col min="14351" max="14351" width="15" style="1328" customWidth="1"/>
    <col min="14352" max="14353" width="17.5703125" style="1328" customWidth="1"/>
    <col min="14354" max="14354" width="33" style="1328" customWidth="1"/>
    <col min="14355" max="14355" width="15" style="1328" customWidth="1"/>
    <col min="14356" max="14357" width="14.5703125" style="1328" bestFit="1" customWidth="1"/>
    <col min="14358" max="14358" width="10.5703125" style="1328" bestFit="1" customWidth="1"/>
    <col min="14359" max="14592" width="10" style="1328"/>
    <col min="14593" max="14593" width="9.42578125" style="1328" customWidth="1"/>
    <col min="14594" max="14594" width="20.85546875" style="1328" customWidth="1"/>
    <col min="14595" max="14595" width="35.5703125" style="1328" customWidth="1"/>
    <col min="14596" max="14596" width="12.85546875" style="1328" customWidth="1"/>
    <col min="14597" max="14597" width="10.42578125" style="1328" customWidth="1"/>
    <col min="14598" max="14598" width="16.42578125" style="1328" customWidth="1"/>
    <col min="14599" max="14599" width="12" style="1328" customWidth="1"/>
    <col min="14600" max="14600" width="14.28515625" style="1328" bestFit="1" customWidth="1"/>
    <col min="14601" max="14601" width="18.85546875" style="1328" customWidth="1"/>
    <col min="14602" max="14602" width="15.5703125" style="1328" customWidth="1"/>
    <col min="14603" max="14603" width="16.140625" style="1328" customWidth="1"/>
    <col min="14604" max="14605" width="15" style="1328" customWidth="1"/>
    <col min="14606" max="14606" width="13.5703125" style="1328" customWidth="1"/>
    <col min="14607" max="14607" width="15" style="1328" customWidth="1"/>
    <col min="14608" max="14609" width="17.5703125" style="1328" customWidth="1"/>
    <col min="14610" max="14610" width="33" style="1328" customWidth="1"/>
    <col min="14611" max="14611" width="15" style="1328" customWidth="1"/>
    <col min="14612" max="14613" width="14.5703125" style="1328" bestFit="1" customWidth="1"/>
    <col min="14614" max="14614" width="10.5703125" style="1328" bestFit="1" customWidth="1"/>
    <col min="14615" max="14848" width="10" style="1328"/>
    <col min="14849" max="14849" width="9.42578125" style="1328" customWidth="1"/>
    <col min="14850" max="14850" width="20.85546875" style="1328" customWidth="1"/>
    <col min="14851" max="14851" width="35.5703125" style="1328" customWidth="1"/>
    <col min="14852" max="14852" width="12.85546875" style="1328" customWidth="1"/>
    <col min="14853" max="14853" width="10.42578125" style="1328" customWidth="1"/>
    <col min="14854" max="14854" width="16.42578125" style="1328" customWidth="1"/>
    <col min="14855" max="14855" width="12" style="1328" customWidth="1"/>
    <col min="14856" max="14856" width="14.28515625" style="1328" bestFit="1" customWidth="1"/>
    <col min="14857" max="14857" width="18.85546875" style="1328" customWidth="1"/>
    <col min="14858" max="14858" width="15.5703125" style="1328" customWidth="1"/>
    <col min="14859" max="14859" width="16.140625" style="1328" customWidth="1"/>
    <col min="14860" max="14861" width="15" style="1328" customWidth="1"/>
    <col min="14862" max="14862" width="13.5703125" style="1328" customWidth="1"/>
    <col min="14863" max="14863" width="15" style="1328" customWidth="1"/>
    <col min="14864" max="14865" width="17.5703125" style="1328" customWidth="1"/>
    <col min="14866" max="14866" width="33" style="1328" customWidth="1"/>
    <col min="14867" max="14867" width="15" style="1328" customWidth="1"/>
    <col min="14868" max="14869" width="14.5703125" style="1328" bestFit="1" customWidth="1"/>
    <col min="14870" max="14870" width="10.5703125" style="1328" bestFit="1" customWidth="1"/>
    <col min="14871" max="15104" width="10" style="1328"/>
    <col min="15105" max="15105" width="9.42578125" style="1328" customWidth="1"/>
    <col min="15106" max="15106" width="20.85546875" style="1328" customWidth="1"/>
    <col min="15107" max="15107" width="35.5703125" style="1328" customWidth="1"/>
    <col min="15108" max="15108" width="12.85546875" style="1328" customWidth="1"/>
    <col min="15109" max="15109" width="10.42578125" style="1328" customWidth="1"/>
    <col min="15110" max="15110" width="16.42578125" style="1328" customWidth="1"/>
    <col min="15111" max="15111" width="12" style="1328" customWidth="1"/>
    <col min="15112" max="15112" width="14.28515625" style="1328" bestFit="1" customWidth="1"/>
    <col min="15113" max="15113" width="18.85546875" style="1328" customWidth="1"/>
    <col min="15114" max="15114" width="15.5703125" style="1328" customWidth="1"/>
    <col min="15115" max="15115" width="16.140625" style="1328" customWidth="1"/>
    <col min="15116" max="15117" width="15" style="1328" customWidth="1"/>
    <col min="15118" max="15118" width="13.5703125" style="1328" customWidth="1"/>
    <col min="15119" max="15119" width="15" style="1328" customWidth="1"/>
    <col min="15120" max="15121" width="17.5703125" style="1328" customWidth="1"/>
    <col min="15122" max="15122" width="33" style="1328" customWidth="1"/>
    <col min="15123" max="15123" width="15" style="1328" customWidth="1"/>
    <col min="15124" max="15125" width="14.5703125" style="1328" bestFit="1" customWidth="1"/>
    <col min="15126" max="15126" width="10.5703125" style="1328" bestFit="1" customWidth="1"/>
    <col min="15127" max="15360" width="10" style="1328"/>
    <col min="15361" max="15361" width="9.42578125" style="1328" customWidth="1"/>
    <col min="15362" max="15362" width="20.85546875" style="1328" customWidth="1"/>
    <col min="15363" max="15363" width="35.5703125" style="1328" customWidth="1"/>
    <col min="15364" max="15364" width="12.85546875" style="1328" customWidth="1"/>
    <col min="15365" max="15365" width="10.42578125" style="1328" customWidth="1"/>
    <col min="15366" max="15366" width="16.42578125" style="1328" customWidth="1"/>
    <col min="15367" max="15367" width="12" style="1328" customWidth="1"/>
    <col min="15368" max="15368" width="14.28515625" style="1328" bestFit="1" customWidth="1"/>
    <col min="15369" max="15369" width="18.85546875" style="1328" customWidth="1"/>
    <col min="15370" max="15370" width="15.5703125" style="1328" customWidth="1"/>
    <col min="15371" max="15371" width="16.140625" style="1328" customWidth="1"/>
    <col min="15372" max="15373" width="15" style="1328" customWidth="1"/>
    <col min="15374" max="15374" width="13.5703125" style="1328" customWidth="1"/>
    <col min="15375" max="15375" width="15" style="1328" customWidth="1"/>
    <col min="15376" max="15377" width="17.5703125" style="1328" customWidth="1"/>
    <col min="15378" max="15378" width="33" style="1328" customWidth="1"/>
    <col min="15379" max="15379" width="15" style="1328" customWidth="1"/>
    <col min="15380" max="15381" width="14.5703125" style="1328" bestFit="1" customWidth="1"/>
    <col min="15382" max="15382" width="10.5703125" style="1328" bestFit="1" customWidth="1"/>
    <col min="15383" max="15616" width="10" style="1328"/>
    <col min="15617" max="15617" width="9.42578125" style="1328" customWidth="1"/>
    <col min="15618" max="15618" width="20.85546875" style="1328" customWidth="1"/>
    <col min="15619" max="15619" width="35.5703125" style="1328" customWidth="1"/>
    <col min="15620" max="15620" width="12.85546875" style="1328" customWidth="1"/>
    <col min="15621" max="15621" width="10.42578125" style="1328" customWidth="1"/>
    <col min="15622" max="15622" width="16.42578125" style="1328" customWidth="1"/>
    <col min="15623" max="15623" width="12" style="1328" customWidth="1"/>
    <col min="15624" max="15624" width="14.28515625" style="1328" bestFit="1" customWidth="1"/>
    <col min="15625" max="15625" width="18.85546875" style="1328" customWidth="1"/>
    <col min="15626" max="15626" width="15.5703125" style="1328" customWidth="1"/>
    <col min="15627" max="15627" width="16.140625" style="1328" customWidth="1"/>
    <col min="15628" max="15629" width="15" style="1328" customWidth="1"/>
    <col min="15630" max="15630" width="13.5703125" style="1328" customWidth="1"/>
    <col min="15631" max="15631" width="15" style="1328" customWidth="1"/>
    <col min="15632" max="15633" width="17.5703125" style="1328" customWidth="1"/>
    <col min="15634" max="15634" width="33" style="1328" customWidth="1"/>
    <col min="15635" max="15635" width="15" style="1328" customWidth="1"/>
    <col min="15636" max="15637" width="14.5703125" style="1328" bestFit="1" customWidth="1"/>
    <col min="15638" max="15638" width="10.5703125" style="1328" bestFit="1" customWidth="1"/>
    <col min="15639" max="15872" width="10" style="1328"/>
    <col min="15873" max="15873" width="9.42578125" style="1328" customWidth="1"/>
    <col min="15874" max="15874" width="20.85546875" style="1328" customWidth="1"/>
    <col min="15875" max="15875" width="35.5703125" style="1328" customWidth="1"/>
    <col min="15876" max="15876" width="12.85546875" style="1328" customWidth="1"/>
    <col min="15877" max="15877" width="10.42578125" style="1328" customWidth="1"/>
    <col min="15878" max="15878" width="16.42578125" style="1328" customWidth="1"/>
    <col min="15879" max="15879" width="12" style="1328" customWidth="1"/>
    <col min="15880" max="15880" width="14.28515625" style="1328" bestFit="1" customWidth="1"/>
    <col min="15881" max="15881" width="18.85546875" style="1328" customWidth="1"/>
    <col min="15882" max="15882" width="15.5703125" style="1328" customWidth="1"/>
    <col min="15883" max="15883" width="16.140625" style="1328" customWidth="1"/>
    <col min="15884" max="15885" width="15" style="1328" customWidth="1"/>
    <col min="15886" max="15886" width="13.5703125" style="1328" customWidth="1"/>
    <col min="15887" max="15887" width="15" style="1328" customWidth="1"/>
    <col min="15888" max="15889" width="17.5703125" style="1328" customWidth="1"/>
    <col min="15890" max="15890" width="33" style="1328" customWidth="1"/>
    <col min="15891" max="15891" width="15" style="1328" customWidth="1"/>
    <col min="15892" max="15893" width="14.5703125" style="1328" bestFit="1" customWidth="1"/>
    <col min="15894" max="15894" width="10.5703125" style="1328" bestFit="1" customWidth="1"/>
    <col min="15895" max="16128" width="10" style="1328"/>
    <col min="16129" max="16129" width="9.42578125" style="1328" customWidth="1"/>
    <col min="16130" max="16130" width="20.85546875" style="1328" customWidth="1"/>
    <col min="16131" max="16131" width="35.5703125" style="1328" customWidth="1"/>
    <col min="16132" max="16132" width="12.85546875" style="1328" customWidth="1"/>
    <col min="16133" max="16133" width="10.42578125" style="1328" customWidth="1"/>
    <col min="16134" max="16134" width="16.42578125" style="1328" customWidth="1"/>
    <col min="16135" max="16135" width="12" style="1328" customWidth="1"/>
    <col min="16136" max="16136" width="14.28515625" style="1328" bestFit="1" customWidth="1"/>
    <col min="16137" max="16137" width="18.85546875" style="1328" customWidth="1"/>
    <col min="16138" max="16138" width="15.5703125" style="1328" customWidth="1"/>
    <col min="16139" max="16139" width="16.140625" style="1328" customWidth="1"/>
    <col min="16140" max="16141" width="15" style="1328" customWidth="1"/>
    <col min="16142" max="16142" width="13.5703125" style="1328" customWidth="1"/>
    <col min="16143" max="16143" width="15" style="1328" customWidth="1"/>
    <col min="16144" max="16145" width="17.5703125" style="1328" customWidth="1"/>
    <col min="16146" max="16146" width="33" style="1328" customWidth="1"/>
    <col min="16147" max="16147" width="15" style="1328" customWidth="1"/>
    <col min="16148" max="16149" width="14.5703125" style="1328" bestFit="1" customWidth="1"/>
    <col min="16150" max="16150" width="10.5703125" style="1328" bestFit="1" customWidth="1"/>
    <col min="16151" max="16384" width="10" style="1328"/>
  </cols>
  <sheetData>
    <row r="1" spans="1:23" ht="12.75">
      <c r="A1" s="1328" t="s">
        <v>815</v>
      </c>
      <c r="R1" s="1330"/>
    </row>
    <row r="2" spans="1:23" ht="12.75">
      <c r="A2" s="1328" t="s">
        <v>816</v>
      </c>
      <c r="R2" s="1330"/>
      <c r="V2" s="1331"/>
    </row>
    <row r="3" spans="1:23" ht="12.75">
      <c r="A3" s="1328" t="s">
        <v>817</v>
      </c>
      <c r="R3" s="1330"/>
      <c r="V3" s="1332"/>
    </row>
    <row r="4" spans="1:23">
      <c r="A4" s="1328" t="s">
        <v>911</v>
      </c>
      <c r="G4" s="1333"/>
    </row>
    <row r="5" spans="1:23">
      <c r="A5" s="1328" t="s">
        <v>818</v>
      </c>
      <c r="I5" s="1334"/>
      <c r="J5" s="1334"/>
      <c r="P5" s="1334"/>
      <c r="Q5" s="1334"/>
    </row>
    <row r="6" spans="1:23">
      <c r="J6" s="1334"/>
      <c r="K6" s="1335"/>
      <c r="L6" s="1329"/>
      <c r="M6" s="1329"/>
      <c r="N6" s="1329"/>
      <c r="O6" s="1329"/>
      <c r="P6" s="1329"/>
      <c r="Q6" s="1329"/>
    </row>
    <row r="7" spans="1:23">
      <c r="B7" s="1336"/>
      <c r="C7" s="1336"/>
      <c r="D7" s="1336"/>
      <c r="E7" s="1336"/>
      <c r="F7" s="1336"/>
      <c r="G7" s="1336"/>
      <c r="H7" s="1336"/>
      <c r="I7" s="1336"/>
      <c r="J7" s="1336"/>
      <c r="K7" s="1336"/>
      <c r="L7" s="1336"/>
      <c r="M7" s="1336"/>
      <c r="N7" s="1336"/>
      <c r="O7" s="1336"/>
      <c r="P7" s="1336"/>
      <c r="Q7" s="1329"/>
    </row>
    <row r="8" spans="1:23">
      <c r="A8" s="1329" t="s">
        <v>438</v>
      </c>
      <c r="B8" s="1329" t="s">
        <v>439</v>
      </c>
      <c r="C8" s="1329" t="s">
        <v>440</v>
      </c>
      <c r="D8" s="1329" t="s">
        <v>441</v>
      </c>
      <c r="E8" s="1329" t="s">
        <v>442</v>
      </c>
      <c r="F8" s="1329" t="s">
        <v>443</v>
      </c>
      <c r="G8" s="1329" t="s">
        <v>444</v>
      </c>
      <c r="H8" s="1329" t="s">
        <v>445</v>
      </c>
      <c r="I8" s="1329" t="s">
        <v>819</v>
      </c>
      <c r="J8" s="1329" t="s">
        <v>820</v>
      </c>
      <c r="K8" s="1329" t="s">
        <v>448</v>
      </c>
      <c r="L8" s="1329" t="s">
        <v>449</v>
      </c>
      <c r="M8" s="1329" t="s">
        <v>450</v>
      </c>
      <c r="N8" s="1329" t="s">
        <v>31</v>
      </c>
      <c r="O8" s="1329" t="s">
        <v>99</v>
      </c>
      <c r="P8" s="1329" t="s">
        <v>144</v>
      </c>
      <c r="Q8" s="1329" t="s">
        <v>145</v>
      </c>
      <c r="R8" s="1329" t="s">
        <v>146</v>
      </c>
    </row>
    <row r="9" spans="1:23" ht="14.45" customHeight="1">
      <c r="B9" s="1393"/>
      <c r="C9" s="1393"/>
      <c r="D9" s="1393"/>
      <c r="E9" s="1393"/>
      <c r="I9" s="1494" t="s">
        <v>910</v>
      </c>
      <c r="J9" s="1494"/>
      <c r="K9" s="1495" t="s">
        <v>821</v>
      </c>
      <c r="L9" s="1495"/>
      <c r="M9" s="1495"/>
      <c r="N9" s="1496" t="s">
        <v>822</v>
      </c>
      <c r="O9" s="1496"/>
      <c r="P9" s="1494" t="s">
        <v>909</v>
      </c>
      <c r="Q9" s="1494"/>
    </row>
    <row r="10" spans="1:23" ht="69.95" customHeight="1">
      <c r="A10" s="1337" t="s">
        <v>823</v>
      </c>
      <c r="B10" s="1338" t="s">
        <v>824</v>
      </c>
      <c r="C10" s="1338" t="s">
        <v>825</v>
      </c>
      <c r="D10" s="1339" t="s">
        <v>826</v>
      </c>
      <c r="E10" s="1339" t="s">
        <v>827</v>
      </c>
      <c r="F10" s="1339" t="s">
        <v>828</v>
      </c>
      <c r="G10" s="1339" t="s">
        <v>829</v>
      </c>
      <c r="H10" s="1339" t="s">
        <v>830</v>
      </c>
      <c r="I10" s="1340" t="s">
        <v>831</v>
      </c>
      <c r="J10" s="1340" t="s">
        <v>832</v>
      </c>
      <c r="K10" s="1341" t="s">
        <v>833</v>
      </c>
      <c r="L10" s="1341">
        <v>182.3</v>
      </c>
      <c r="M10" s="1341">
        <v>254</v>
      </c>
      <c r="N10" s="1341" t="s">
        <v>834</v>
      </c>
      <c r="O10" s="1341" t="s">
        <v>835</v>
      </c>
      <c r="P10" s="1340" t="s">
        <v>831</v>
      </c>
      <c r="Q10" s="1340" t="s">
        <v>832</v>
      </c>
      <c r="R10" s="1342" t="s">
        <v>836</v>
      </c>
    </row>
    <row r="11" spans="1:23">
      <c r="B11" s="1328"/>
      <c r="D11" s="1392"/>
      <c r="E11" s="1392"/>
      <c r="F11" s="1392"/>
      <c r="G11" s="1392"/>
      <c r="H11" s="1392"/>
      <c r="I11" s="1343"/>
      <c r="J11" s="1343"/>
      <c r="K11" s="1343"/>
      <c r="L11" s="1343"/>
      <c r="M11" s="1343"/>
      <c r="N11" s="1343"/>
      <c r="O11" s="1343"/>
      <c r="P11" s="1497" t="s">
        <v>837</v>
      </c>
      <c r="Q11" s="1497"/>
      <c r="R11" s="1342"/>
    </row>
    <row r="12" spans="1:23">
      <c r="B12" s="1344" t="s">
        <v>838</v>
      </c>
      <c r="C12" s="1345"/>
      <c r="D12" s="1345"/>
      <c r="E12" s="1345"/>
      <c r="F12" s="1345"/>
      <c r="G12" s="1345"/>
      <c r="H12" s="1345"/>
      <c r="I12" s="1345"/>
      <c r="J12" s="1345"/>
      <c r="K12" s="1345"/>
      <c r="L12" s="1345"/>
      <c r="M12" s="1345"/>
      <c r="N12" s="1345"/>
      <c r="O12" s="1345"/>
      <c r="P12" s="1345"/>
      <c r="Q12" s="1345"/>
      <c r="R12" s="1332"/>
      <c r="S12" s="1332"/>
      <c r="T12" s="1332"/>
      <c r="U12" s="1332"/>
      <c r="V12" s="1332"/>
      <c r="W12" s="1332"/>
    </row>
    <row r="13" spans="1:23">
      <c r="A13" s="1328" t="s">
        <v>839</v>
      </c>
      <c r="B13" s="1346" t="s">
        <v>840</v>
      </c>
      <c r="C13" s="1328" t="s">
        <v>841</v>
      </c>
      <c r="D13" s="1347" t="s">
        <v>842</v>
      </c>
      <c r="E13" s="1347" t="s">
        <v>843</v>
      </c>
      <c r="F13" s="1348"/>
      <c r="G13" s="1347"/>
      <c r="H13" s="1347"/>
      <c r="I13" s="1349"/>
      <c r="J13" s="1350"/>
      <c r="K13" s="1349"/>
      <c r="L13" s="1349"/>
      <c r="M13" s="1349"/>
      <c r="N13" s="1349"/>
      <c r="O13" s="1349"/>
      <c r="P13" s="1351">
        <f>SUM(I13:O13)</f>
        <v>0</v>
      </c>
      <c r="Q13" s="1352" t="s">
        <v>406</v>
      </c>
      <c r="R13" s="1353" t="s">
        <v>844</v>
      </c>
      <c r="S13" s="1332"/>
      <c r="T13" s="1332"/>
      <c r="U13" s="1332"/>
      <c r="V13" s="1332"/>
      <c r="W13" s="1332"/>
    </row>
    <row r="14" spans="1:23">
      <c r="A14" s="1328" t="s">
        <v>845</v>
      </c>
      <c r="B14" s="1346" t="s">
        <v>846</v>
      </c>
      <c r="C14" s="1328" t="s">
        <v>847</v>
      </c>
      <c r="D14" s="1347" t="s">
        <v>848</v>
      </c>
      <c r="E14" s="1347" t="s">
        <v>843</v>
      </c>
      <c r="F14" s="1354"/>
      <c r="G14" s="1355" t="s">
        <v>849</v>
      </c>
      <c r="H14" s="1355" t="s">
        <v>850</v>
      </c>
      <c r="J14" s="1349"/>
      <c r="K14" s="1349"/>
      <c r="L14" s="1349"/>
      <c r="M14" s="1349"/>
      <c r="N14" s="1349"/>
      <c r="O14" s="1349"/>
      <c r="P14" s="1356" t="s">
        <v>406</v>
      </c>
      <c r="Q14" s="1357">
        <f>SUM(J14:O14)</f>
        <v>0</v>
      </c>
      <c r="R14" s="1353" t="s">
        <v>855</v>
      </c>
      <c r="S14" s="1332"/>
      <c r="T14" s="1332"/>
      <c r="U14" s="1332"/>
      <c r="V14" s="1332"/>
      <c r="W14" s="1332"/>
    </row>
    <row r="15" spans="1:23">
      <c r="A15" s="1328" t="s">
        <v>851</v>
      </c>
      <c r="B15" s="1346" t="s">
        <v>846</v>
      </c>
      <c r="C15" s="1328" t="s">
        <v>847</v>
      </c>
      <c r="D15" s="1347" t="s">
        <v>852</v>
      </c>
      <c r="E15" s="1347" t="s">
        <v>843</v>
      </c>
      <c r="F15" s="1359">
        <v>-9655</v>
      </c>
      <c r="G15" s="1355" t="s">
        <v>853</v>
      </c>
      <c r="H15" s="1355" t="s">
        <v>854</v>
      </c>
      <c r="J15" s="1349"/>
      <c r="K15" s="1349"/>
      <c r="L15" s="1349"/>
      <c r="M15" s="1349"/>
      <c r="N15" s="1349"/>
      <c r="O15" s="1349"/>
      <c r="P15" s="1356"/>
      <c r="Q15" s="1357">
        <f>SUM(J15:O15)</f>
        <v>0</v>
      </c>
      <c r="R15" s="1358" t="s">
        <v>907</v>
      </c>
      <c r="S15" s="1332"/>
      <c r="T15" s="1332"/>
      <c r="U15" s="1332"/>
      <c r="V15" s="1332"/>
      <c r="W15" s="1332"/>
    </row>
    <row r="16" spans="1:23">
      <c r="A16" s="1328" t="s">
        <v>856</v>
      </c>
      <c r="B16" s="1346" t="s">
        <v>857</v>
      </c>
      <c r="C16" s="1328" t="s">
        <v>858</v>
      </c>
      <c r="D16" s="1347" t="s">
        <v>848</v>
      </c>
      <c r="E16" s="1347" t="s">
        <v>843</v>
      </c>
      <c r="F16" s="1359"/>
      <c r="G16" s="1355"/>
      <c r="H16" s="1355"/>
      <c r="I16" s="1349"/>
      <c r="J16" s="1350"/>
      <c r="K16" s="1349"/>
      <c r="L16" s="1349"/>
      <c r="M16" s="1349"/>
      <c r="N16" s="1349"/>
      <c r="O16" s="1349"/>
      <c r="P16" s="1351">
        <f>SUM(I16:O16)</f>
        <v>0</v>
      </c>
      <c r="Q16" s="1350"/>
      <c r="R16" s="1498" t="s">
        <v>908</v>
      </c>
      <c r="S16" s="1332"/>
      <c r="T16" s="1332"/>
      <c r="U16" s="1332"/>
      <c r="V16" s="1332"/>
      <c r="W16" s="1332"/>
    </row>
    <row r="17" spans="1:23">
      <c r="A17" s="1328" t="s">
        <v>859</v>
      </c>
      <c r="B17" s="1346" t="s">
        <v>857</v>
      </c>
      <c r="C17" s="1328" t="s">
        <v>858</v>
      </c>
      <c r="D17" s="1347" t="s">
        <v>852</v>
      </c>
      <c r="E17" s="1347" t="s">
        <v>843</v>
      </c>
      <c r="F17" s="1359"/>
      <c r="G17" s="1355"/>
      <c r="H17" s="1355"/>
      <c r="I17" s="1349"/>
      <c r="J17" s="1350"/>
      <c r="K17" s="1349"/>
      <c r="L17" s="1349"/>
      <c r="M17" s="1349"/>
      <c r="N17" s="1349"/>
      <c r="O17" s="1349"/>
      <c r="P17" s="1351">
        <f>SUM(I17:O17)</f>
        <v>0</v>
      </c>
      <c r="Q17" s="1350"/>
      <c r="R17" s="1498"/>
      <c r="S17" s="1332"/>
      <c r="T17" s="1332"/>
      <c r="U17" s="1332"/>
      <c r="V17" s="1332"/>
      <c r="W17" s="1332"/>
    </row>
    <row r="18" spans="1:23">
      <c r="A18" s="1328" t="s">
        <v>860</v>
      </c>
      <c r="B18" s="1346" t="s">
        <v>861</v>
      </c>
      <c r="C18" s="1328" t="s">
        <v>862</v>
      </c>
      <c r="D18" s="1347" t="s">
        <v>852</v>
      </c>
      <c r="E18" s="1347" t="s">
        <v>843</v>
      </c>
      <c r="F18" s="1359">
        <v>2600</v>
      </c>
      <c r="G18" s="1355" t="s">
        <v>853</v>
      </c>
      <c r="H18" s="1355" t="s">
        <v>854</v>
      </c>
      <c r="J18" s="1349"/>
      <c r="K18" s="1349"/>
      <c r="L18" s="1349"/>
      <c r="M18" s="1349"/>
      <c r="N18" s="1349"/>
      <c r="O18" s="1349"/>
      <c r="P18" s="1356" t="s">
        <v>406</v>
      </c>
      <c r="Q18" s="1357">
        <f>SUM(J18:O18)</f>
        <v>0</v>
      </c>
      <c r="R18" s="1353" t="s">
        <v>863</v>
      </c>
      <c r="S18" s="1332"/>
      <c r="T18" s="1332"/>
      <c r="U18" s="1332"/>
      <c r="V18" s="1332"/>
      <c r="W18" s="1332"/>
    </row>
    <row r="19" spans="1:23">
      <c r="A19" s="1328" t="s">
        <v>864</v>
      </c>
      <c r="B19" s="1360" t="s">
        <v>865</v>
      </c>
      <c r="C19" s="1328" t="s">
        <v>866</v>
      </c>
      <c r="D19" s="1347" t="s">
        <v>852</v>
      </c>
      <c r="E19" s="1347" t="s">
        <v>843</v>
      </c>
      <c r="F19" s="1354"/>
      <c r="G19" s="1355"/>
      <c r="H19" s="1355"/>
      <c r="I19" s="1349"/>
      <c r="J19" s="1350"/>
      <c r="K19" s="1349"/>
      <c r="L19" s="1349"/>
      <c r="M19" s="1349"/>
      <c r="N19" s="1349"/>
      <c r="O19" s="1349"/>
      <c r="P19" s="1351">
        <f>SUM(I19:O19)</f>
        <v>0</v>
      </c>
      <c r="Q19" s="1356"/>
      <c r="R19" s="1353" t="s">
        <v>867</v>
      </c>
      <c r="S19" s="1332"/>
      <c r="T19" s="1332"/>
      <c r="U19" s="1332"/>
      <c r="V19" s="1332"/>
      <c r="W19" s="1332"/>
    </row>
    <row r="20" spans="1:23">
      <c r="A20" s="1328" t="s">
        <v>868</v>
      </c>
      <c r="B20" s="1361" t="s">
        <v>869</v>
      </c>
      <c r="D20" s="1347"/>
      <c r="E20" s="1347"/>
      <c r="F20" s="1354"/>
      <c r="G20" s="1355"/>
      <c r="H20" s="1355"/>
      <c r="I20" s="1349"/>
      <c r="J20" s="1349"/>
      <c r="K20" s="1349"/>
      <c r="L20" s="1349"/>
      <c r="M20" s="1349"/>
      <c r="N20" s="1349"/>
      <c r="O20" s="1349"/>
      <c r="P20" s="1352"/>
      <c r="Q20" s="1351"/>
      <c r="R20" s="1362"/>
      <c r="S20" s="1332"/>
      <c r="T20" s="1332"/>
      <c r="U20" s="1332"/>
      <c r="V20" s="1332"/>
      <c r="W20" s="1332"/>
    </row>
    <row r="21" spans="1:23" ht="12.75">
      <c r="B21" s="1363"/>
      <c r="C21" s="1363"/>
      <c r="D21" s="1363"/>
      <c r="E21" s="1363"/>
      <c r="F21" s="1363"/>
      <c r="G21" s="1363"/>
      <c r="H21" s="1363"/>
      <c r="I21" s="1363"/>
      <c r="J21" s="1363"/>
      <c r="K21" s="1363"/>
      <c r="L21" s="1363"/>
      <c r="M21" s="1363"/>
      <c r="N21"/>
      <c r="O21"/>
      <c r="P21"/>
      <c r="Q21"/>
      <c r="R21"/>
      <c r="S21" s="1332"/>
      <c r="T21" s="1332"/>
      <c r="U21" s="1332"/>
      <c r="V21" s="1332"/>
      <c r="W21" s="1332"/>
    </row>
    <row r="22" spans="1:23" s="1332" customFormat="1">
      <c r="A22" s="1328"/>
      <c r="B22" s="1344" t="s">
        <v>870</v>
      </c>
      <c r="Q22" s="1364"/>
      <c r="R22" s="1365"/>
    </row>
    <row r="23" spans="1:23" ht="11.45" customHeight="1">
      <c r="A23" s="1328" t="s">
        <v>871</v>
      </c>
      <c r="B23" s="1366">
        <v>182.3</v>
      </c>
      <c r="C23" s="1367" t="s">
        <v>872</v>
      </c>
      <c r="D23" s="1368" t="s">
        <v>406</v>
      </c>
      <c r="E23" s="1347" t="s">
        <v>843</v>
      </c>
      <c r="F23" s="1368"/>
      <c r="G23" s="1368" t="s">
        <v>406</v>
      </c>
      <c r="H23" s="1368"/>
      <c r="I23" s="1369"/>
      <c r="J23" s="1349"/>
      <c r="K23" s="1349"/>
      <c r="L23" s="1349"/>
      <c r="M23" s="1349"/>
      <c r="N23" s="1349"/>
      <c r="O23" s="1350"/>
      <c r="P23" s="1352">
        <f>SUM(I23:O23)</f>
        <v>0</v>
      </c>
      <c r="Q23" s="1370"/>
      <c r="R23" s="1353" t="s">
        <v>873</v>
      </c>
      <c r="S23" s="1332"/>
      <c r="T23" s="1332"/>
      <c r="U23" s="1332"/>
      <c r="V23" s="1332"/>
      <c r="W23" s="1332"/>
    </row>
    <row r="24" spans="1:23" ht="11.45" customHeight="1">
      <c r="A24" s="1328" t="s">
        <v>874</v>
      </c>
      <c r="B24" s="1366">
        <v>254</v>
      </c>
      <c r="C24" s="1367" t="s">
        <v>875</v>
      </c>
      <c r="D24" s="1368" t="s">
        <v>406</v>
      </c>
      <c r="E24" s="1347" t="s">
        <v>843</v>
      </c>
      <c r="F24" s="1368"/>
      <c r="G24" s="1368" t="s">
        <v>406</v>
      </c>
      <c r="H24" s="1368"/>
      <c r="I24" s="1369"/>
      <c r="J24" s="1349"/>
      <c r="K24" s="1349"/>
      <c r="L24" s="1349"/>
      <c r="M24" s="1349"/>
      <c r="N24" s="1349"/>
      <c r="O24" s="1350"/>
      <c r="P24" s="1352">
        <f>SUM(I24:O24)</f>
        <v>0</v>
      </c>
      <c r="Q24" s="1370"/>
      <c r="R24" s="1353" t="s">
        <v>876</v>
      </c>
      <c r="S24" s="1332"/>
      <c r="T24" s="1332"/>
      <c r="U24" s="1332"/>
      <c r="V24" s="1332"/>
      <c r="W24" s="1332"/>
    </row>
    <row r="25" spans="1:23" ht="11.45" customHeight="1">
      <c r="A25" s="1328" t="s">
        <v>877</v>
      </c>
      <c r="B25" s="1361" t="s">
        <v>869</v>
      </c>
      <c r="C25" s="1367"/>
      <c r="D25" s="1368"/>
      <c r="E25" s="1347"/>
      <c r="F25" s="1368"/>
      <c r="G25" s="1368"/>
      <c r="H25" s="1368"/>
      <c r="I25" s="1349"/>
      <c r="J25" s="1349"/>
      <c r="K25" s="1349"/>
      <c r="L25" s="1349"/>
      <c r="M25" s="1349"/>
      <c r="N25" s="1349"/>
      <c r="O25" s="1368"/>
      <c r="P25" s="1370"/>
      <c r="Q25" s="1370"/>
      <c r="R25" s="1353"/>
      <c r="S25" s="1332"/>
      <c r="T25" s="1332"/>
      <c r="U25" s="1332"/>
      <c r="V25" s="1332"/>
      <c r="W25" s="1332"/>
    </row>
    <row r="26" spans="1:23">
      <c r="B26" s="1366"/>
      <c r="C26" s="1367"/>
      <c r="D26" s="1336"/>
      <c r="E26" s="1336"/>
      <c r="F26" s="1336"/>
      <c r="G26" s="1336"/>
      <c r="H26" s="1336"/>
      <c r="I26" s="1336"/>
      <c r="J26" s="1336"/>
      <c r="K26" s="1336"/>
      <c r="L26" s="1336"/>
      <c r="M26" s="1336"/>
      <c r="N26" s="1336"/>
      <c r="O26" s="1336"/>
      <c r="P26" s="1336"/>
      <c r="Q26" s="1336"/>
      <c r="R26" s="1371"/>
      <c r="S26" s="1332"/>
      <c r="T26" s="1332"/>
      <c r="U26" s="1332"/>
      <c r="V26" s="1332"/>
      <c r="W26" s="1332"/>
    </row>
    <row r="27" spans="1:23" ht="12.75" thickBot="1">
      <c r="A27" s="1372">
        <v>3</v>
      </c>
      <c r="B27" s="1499" t="str">
        <f>"Total For Accounting Entires (Sum of Lines "&amp;A13&amp;" through "&amp;A24&amp;")"</f>
        <v>Total For Accounting Entires (Sum of Lines 1a through 2b)</v>
      </c>
      <c r="C27" s="1499"/>
      <c r="D27" s="1368"/>
      <c r="E27" s="1368"/>
      <c r="F27" s="1368"/>
      <c r="G27" s="1368"/>
      <c r="H27" s="1368"/>
      <c r="I27" s="1373">
        <f>SUM(I13:I26)</f>
        <v>0</v>
      </c>
      <c r="J27" s="1374">
        <f>SUM(J13:J26)</f>
        <v>0</v>
      </c>
      <c r="K27" s="1375">
        <f>SUM(K13:K26)</f>
        <v>0</v>
      </c>
      <c r="L27" s="1375">
        <f>SUM(L13:L26)</f>
        <v>0</v>
      </c>
      <c r="M27" s="1375">
        <f>SUM(M13:M26)</f>
        <v>0</v>
      </c>
      <c r="N27" s="1374">
        <f>-SUM(N13:N26)</f>
        <v>0</v>
      </c>
      <c r="O27" s="1374">
        <f>-SUM(O13:O26)</f>
        <v>0</v>
      </c>
      <c r="P27" s="1375">
        <f>SUM(P13:P26)</f>
        <v>0</v>
      </c>
      <c r="Q27" s="1374">
        <f>SUM(Q13:Q26)</f>
        <v>0</v>
      </c>
      <c r="R27" s="1376"/>
      <c r="S27" s="1332"/>
      <c r="T27" s="1332"/>
      <c r="U27" s="1332"/>
      <c r="V27" s="1332"/>
      <c r="W27" s="1332"/>
    </row>
    <row r="28" spans="1:23" ht="12.75" thickTop="1">
      <c r="B28" s="1366"/>
      <c r="C28" s="1367"/>
      <c r="D28" s="1336"/>
      <c r="E28" s="1336"/>
      <c r="F28" s="1336"/>
      <c r="G28" s="1336"/>
      <c r="H28" s="1336"/>
      <c r="I28" s="1377"/>
      <c r="J28" s="1359"/>
      <c r="K28" s="1378"/>
      <c r="L28" s="1378"/>
      <c r="M28" s="1378"/>
      <c r="N28" s="1379" t="s">
        <v>878</v>
      </c>
      <c r="O28" s="1379"/>
      <c r="P28" s="1378"/>
      <c r="Q28" s="1380"/>
      <c r="R28" s="1376"/>
      <c r="S28" s="1332"/>
      <c r="T28" s="1332"/>
      <c r="U28" s="1332"/>
      <c r="V28" s="1332"/>
      <c r="W28" s="1332"/>
    </row>
    <row r="29" spans="1:23">
      <c r="B29" s="1328"/>
      <c r="C29" s="1367"/>
      <c r="D29" s="1336"/>
      <c r="E29" s="1336"/>
      <c r="F29" s="1336"/>
      <c r="G29" s="1336"/>
      <c r="H29" s="1336"/>
      <c r="I29" s="1377"/>
      <c r="J29" s="1380"/>
      <c r="K29" s="1378"/>
      <c r="L29" s="1378"/>
      <c r="M29" s="1378"/>
      <c r="N29" s="1380"/>
      <c r="O29" s="1380"/>
      <c r="P29" s="1378"/>
      <c r="Q29" s="1380"/>
      <c r="R29" s="1376"/>
      <c r="S29" s="1332"/>
      <c r="T29" s="1332"/>
      <c r="U29" s="1332"/>
      <c r="V29" s="1332"/>
      <c r="W29" s="1332"/>
    </row>
    <row r="30" spans="1:23" ht="15" customHeight="1">
      <c r="A30" s="1381" t="s">
        <v>879</v>
      </c>
      <c r="B30" s="1500" t="s">
        <v>880</v>
      </c>
      <c r="C30" s="1500"/>
      <c r="D30" s="1500"/>
      <c r="E30" s="1500"/>
      <c r="F30" s="1500"/>
      <c r="G30" s="1500"/>
      <c r="H30" s="1500"/>
      <c r="I30" s="1500"/>
      <c r="J30" s="1500"/>
      <c r="K30" s="1382"/>
      <c r="L30" s="1383"/>
      <c r="O30" s="1384"/>
      <c r="P30" s="1384"/>
      <c r="Q30" s="1384"/>
      <c r="R30" s="1332"/>
    </row>
    <row r="31" spans="1:23">
      <c r="B31" s="1500"/>
      <c r="C31" s="1500"/>
      <c r="D31" s="1500"/>
      <c r="E31" s="1500"/>
      <c r="F31" s="1500"/>
      <c r="G31" s="1500"/>
      <c r="H31" s="1500"/>
      <c r="I31" s="1500"/>
      <c r="J31" s="1500"/>
      <c r="K31" s="1382"/>
      <c r="L31" s="1383"/>
      <c r="O31" s="1384"/>
      <c r="R31" s="1332"/>
    </row>
    <row r="32" spans="1:23">
      <c r="B32" s="1500"/>
      <c r="C32" s="1500"/>
      <c r="D32" s="1500"/>
      <c r="E32" s="1500"/>
      <c r="F32" s="1500"/>
      <c r="G32" s="1500"/>
      <c r="H32" s="1500"/>
      <c r="I32" s="1500"/>
      <c r="J32" s="1500"/>
      <c r="K32" s="1382"/>
      <c r="L32" s="1383"/>
      <c r="R32" s="1332"/>
    </row>
    <row r="33" spans="1:18">
      <c r="B33" s="1500"/>
      <c r="C33" s="1500"/>
      <c r="D33" s="1500"/>
      <c r="E33" s="1500"/>
      <c r="F33" s="1500"/>
      <c r="G33" s="1500"/>
      <c r="H33" s="1500"/>
      <c r="I33" s="1500"/>
      <c r="J33" s="1500"/>
      <c r="K33" s="1382"/>
      <c r="L33" s="1383"/>
      <c r="P33" s="1384"/>
      <c r="Q33" s="1384"/>
      <c r="R33" s="1332"/>
    </row>
    <row r="34" spans="1:18">
      <c r="B34" s="1500"/>
      <c r="C34" s="1500"/>
      <c r="D34" s="1500"/>
      <c r="E34" s="1500"/>
      <c r="F34" s="1500"/>
      <c r="G34" s="1500"/>
      <c r="H34" s="1500"/>
      <c r="I34" s="1500"/>
      <c r="J34" s="1500"/>
      <c r="K34" s="1382"/>
      <c r="R34" s="1332"/>
    </row>
    <row r="35" spans="1:18">
      <c r="B35" s="1500"/>
      <c r="C35" s="1500"/>
      <c r="D35" s="1500"/>
      <c r="E35" s="1500"/>
      <c r="F35" s="1500"/>
      <c r="G35" s="1500"/>
      <c r="H35" s="1500"/>
      <c r="I35" s="1500"/>
      <c r="J35" s="1500"/>
      <c r="K35" s="1382"/>
      <c r="R35" s="1332"/>
    </row>
    <row r="36" spans="1:18" ht="5.0999999999999996" customHeight="1">
      <c r="B36" s="1382"/>
      <c r="C36" s="1382"/>
      <c r="D36" s="1382"/>
      <c r="E36" s="1382"/>
      <c r="F36" s="1382"/>
      <c r="G36" s="1382"/>
      <c r="H36" s="1382"/>
      <c r="I36" s="1382"/>
      <c r="J36" s="1382"/>
      <c r="K36" s="1382"/>
      <c r="R36" s="1332"/>
    </row>
    <row r="37" spans="1:18" ht="12.6" customHeight="1">
      <c r="A37" s="1328" t="s">
        <v>881</v>
      </c>
      <c r="B37" s="1385" t="s">
        <v>882</v>
      </c>
      <c r="C37" s="1385"/>
      <c r="D37" s="1385"/>
      <c r="E37" s="1385"/>
      <c r="F37" s="1385"/>
      <c r="G37" s="1385"/>
      <c r="H37" s="1385"/>
      <c r="I37" s="1385"/>
      <c r="J37" s="1385"/>
      <c r="K37" s="1382"/>
      <c r="R37" s="1332"/>
    </row>
    <row r="38" spans="1:18" ht="5.0999999999999996" customHeight="1">
      <c r="B38" s="1382"/>
      <c r="C38" s="1382"/>
      <c r="D38" s="1382"/>
      <c r="E38" s="1382"/>
      <c r="F38" s="1382"/>
      <c r="G38" s="1382"/>
      <c r="H38" s="1382"/>
      <c r="I38" s="1382"/>
      <c r="J38" s="1382"/>
      <c r="K38" s="1382"/>
      <c r="R38" s="1332"/>
    </row>
    <row r="39" spans="1:18" s="1387" customFormat="1" ht="12.6" customHeight="1">
      <c r="A39" s="1328" t="s">
        <v>883</v>
      </c>
      <c r="B39" s="1501" t="s">
        <v>884</v>
      </c>
      <c r="C39" s="1501"/>
      <c r="D39" s="1501"/>
      <c r="E39" s="1501"/>
      <c r="F39" s="1501"/>
      <c r="G39" s="1501"/>
      <c r="H39" s="1501"/>
      <c r="I39" s="1501"/>
      <c r="J39" s="1501"/>
      <c r="K39" s="1386"/>
      <c r="R39" s="1364"/>
    </row>
    <row r="40" spans="1:18" s="1387" customFormat="1" ht="12.6" customHeight="1">
      <c r="A40" s="1328"/>
      <c r="B40" s="1501"/>
      <c r="C40" s="1501"/>
      <c r="D40" s="1501"/>
      <c r="E40" s="1501"/>
      <c r="F40" s="1501"/>
      <c r="G40" s="1501"/>
      <c r="H40" s="1501"/>
      <c r="I40" s="1501"/>
      <c r="J40" s="1501"/>
      <c r="K40" s="1386"/>
      <c r="R40" s="1364"/>
    </row>
    <row r="41" spans="1:18" ht="5.0999999999999996" customHeight="1">
      <c r="B41" s="1382"/>
      <c r="C41" s="1382"/>
      <c r="D41" s="1382"/>
      <c r="E41" s="1382"/>
      <c r="F41" s="1382"/>
      <c r="G41" s="1382"/>
      <c r="H41" s="1382"/>
      <c r="I41" s="1382"/>
      <c r="J41" s="1382"/>
      <c r="K41" s="1382"/>
      <c r="R41" s="1332"/>
    </row>
    <row r="42" spans="1:18">
      <c r="A42" s="1328" t="s">
        <v>885</v>
      </c>
      <c r="B42" s="1388" t="s">
        <v>886</v>
      </c>
      <c r="C42" s="1382"/>
      <c r="D42" s="1382"/>
      <c r="E42" s="1382"/>
      <c r="F42" s="1382"/>
      <c r="G42" s="1382"/>
      <c r="H42" s="1382"/>
      <c r="I42" s="1382"/>
      <c r="J42" s="1382"/>
      <c r="K42" s="1382"/>
      <c r="R42" s="1332"/>
    </row>
    <row r="43" spans="1:18" ht="8.1" customHeight="1">
      <c r="B43" s="1388"/>
      <c r="C43" s="1382"/>
      <c r="D43" s="1382"/>
      <c r="E43" s="1382"/>
      <c r="F43" s="1382"/>
      <c r="G43" s="1382"/>
      <c r="H43" s="1382"/>
      <c r="I43" s="1382"/>
      <c r="J43" s="1382"/>
      <c r="K43" s="1382"/>
      <c r="R43" s="1332"/>
    </row>
    <row r="44" spans="1:18">
      <c r="A44" s="1372" t="s">
        <v>887</v>
      </c>
      <c r="B44" s="1500" t="str">
        <f>"The amount of excess amortization entries shown in lines "&amp;A13&amp;" through "&amp;A20&amp;"  are shown as a debit or credit to the ADIT account from which it is being amortized.  The total in line "&amp;A27&amp;" is the offset as charged to the 410/411 account."</f>
        <v>The amount of excess amortization entries shown in lines 1a through 1h  are shown as a debit or credit to the ADIT account from which it is being amortized.  The total in line 3 is the offset as charged to the 410/411 account.</v>
      </c>
      <c r="C44" s="1500"/>
      <c r="D44" s="1500"/>
      <c r="E44" s="1500"/>
      <c r="F44" s="1500"/>
      <c r="G44" s="1500"/>
      <c r="H44" s="1500"/>
      <c r="I44" s="1500"/>
      <c r="J44" s="1382"/>
      <c r="K44" s="1383"/>
      <c r="R44" s="1332"/>
    </row>
    <row r="45" spans="1:18" ht="11.45" customHeight="1">
      <c r="B45" s="1500"/>
      <c r="C45" s="1500"/>
      <c r="D45" s="1500"/>
      <c r="E45" s="1500"/>
      <c r="F45" s="1500"/>
      <c r="G45" s="1500"/>
      <c r="H45" s="1500"/>
      <c r="I45" s="1500"/>
      <c r="J45" s="1382"/>
      <c r="R45" s="1332"/>
    </row>
    <row r="46" spans="1:18">
      <c r="R46" s="1332"/>
    </row>
    <row r="47" spans="1:18">
      <c r="R47" s="1332"/>
    </row>
    <row r="48" spans="1:18">
      <c r="R48" s="1332"/>
    </row>
    <row r="53" spans="1:11">
      <c r="A53" s="1381"/>
      <c r="B53" s="1381"/>
      <c r="C53" s="1381"/>
      <c r="D53" s="1381"/>
      <c r="E53" s="1381"/>
      <c r="F53" s="1381"/>
      <c r="G53" s="1381"/>
      <c r="H53" s="1381"/>
      <c r="I53" s="1381"/>
      <c r="J53" s="1381"/>
      <c r="K53" s="1381"/>
    </row>
    <row r="54" spans="1:11">
      <c r="A54" s="1381"/>
      <c r="B54" s="1381"/>
      <c r="C54" s="1381"/>
      <c r="D54" s="1381"/>
      <c r="E54" s="1381"/>
      <c r="F54" s="1381"/>
      <c r="G54" s="1381"/>
      <c r="H54" s="1381"/>
      <c r="I54" s="1381"/>
      <c r="J54" s="1381"/>
      <c r="K54" s="1381"/>
    </row>
    <row r="55" spans="1:11">
      <c r="D55" s="1381"/>
      <c r="E55" s="1381"/>
      <c r="F55" s="1381"/>
      <c r="G55" s="1381"/>
      <c r="H55" s="1381"/>
      <c r="I55" s="1381"/>
      <c r="J55" s="1381"/>
      <c r="K55" s="1381"/>
    </row>
    <row r="56" spans="1:11">
      <c r="A56" s="1381"/>
      <c r="B56" s="1381"/>
      <c r="C56" s="1381"/>
      <c r="D56" s="1381"/>
      <c r="E56" s="1381"/>
      <c r="F56" s="1381"/>
      <c r="G56" s="1381"/>
      <c r="H56" s="1381"/>
      <c r="I56" s="1381"/>
      <c r="J56" s="1381"/>
      <c r="K56" s="1381"/>
    </row>
    <row r="57" spans="1:11">
      <c r="A57" s="1381"/>
      <c r="B57" s="1381"/>
      <c r="C57" s="1381"/>
      <c r="D57" s="1381"/>
      <c r="E57" s="1381"/>
      <c r="F57" s="1381"/>
      <c r="G57" s="1381"/>
      <c r="H57" s="1381"/>
      <c r="I57" s="1381"/>
      <c r="J57" s="1381"/>
      <c r="K57" s="1381"/>
    </row>
    <row r="58" spans="1:11">
      <c r="A58" s="1381"/>
      <c r="B58" s="1381"/>
      <c r="C58" s="1381"/>
      <c r="D58" s="1381"/>
      <c r="E58" s="1381"/>
      <c r="F58" s="1381"/>
      <c r="G58" s="1381"/>
      <c r="H58" s="1381"/>
      <c r="I58" s="1381"/>
      <c r="J58" s="1381"/>
      <c r="K58" s="1381"/>
    </row>
    <row r="59" spans="1:11">
      <c r="A59" s="1381"/>
      <c r="B59" s="1381"/>
      <c r="C59" s="1381"/>
      <c r="D59" s="1381"/>
      <c r="E59" s="1381"/>
      <c r="F59" s="1381"/>
      <c r="G59" s="1381"/>
      <c r="H59" s="1381"/>
      <c r="I59" s="1381"/>
      <c r="J59" s="1381"/>
      <c r="K59" s="1381"/>
    </row>
    <row r="60" spans="1:11">
      <c r="A60" s="1381"/>
      <c r="B60" s="1381"/>
      <c r="C60" s="1381"/>
      <c r="D60" s="1381"/>
      <c r="E60" s="1381"/>
      <c r="F60" s="1381"/>
      <c r="G60" s="1381"/>
      <c r="H60" s="1381"/>
      <c r="I60" s="1381"/>
      <c r="J60" s="1381"/>
      <c r="K60" s="1381"/>
    </row>
    <row r="61" spans="1:11">
      <c r="A61" s="1381"/>
      <c r="B61" s="1381"/>
      <c r="C61" s="1381"/>
      <c r="D61" s="1381"/>
      <c r="E61" s="1381"/>
      <c r="F61" s="1381"/>
      <c r="G61" s="1381"/>
      <c r="H61" s="1381"/>
      <c r="I61" s="1381"/>
      <c r="J61" s="1381"/>
      <c r="K61" s="1381"/>
    </row>
    <row r="62" spans="1:11">
      <c r="A62" s="1381"/>
      <c r="B62" s="1381"/>
      <c r="C62" s="1381"/>
      <c r="D62" s="1381"/>
      <c r="E62" s="1381"/>
      <c r="F62" s="1381"/>
      <c r="G62" s="1381"/>
      <c r="H62" s="1381"/>
      <c r="I62" s="1381"/>
      <c r="J62" s="1381"/>
      <c r="K62" s="1381"/>
    </row>
    <row r="63" spans="1:11">
      <c r="A63" s="1381"/>
      <c r="B63" s="1381"/>
      <c r="C63" s="1381"/>
      <c r="D63" s="1381"/>
      <c r="E63" s="1381"/>
      <c r="F63" s="1381"/>
      <c r="G63" s="1381"/>
      <c r="H63" s="1381"/>
      <c r="I63" s="1381"/>
      <c r="J63" s="1381"/>
      <c r="K63" s="1381"/>
    </row>
    <row r="70" spans="1:11">
      <c r="B70" s="1372"/>
    </row>
    <row r="71" spans="1:11">
      <c r="B71" s="1383"/>
    </row>
    <row r="72" spans="1:11">
      <c r="B72" s="1383"/>
    </row>
    <row r="73" spans="1:11">
      <c r="B73" s="1383"/>
    </row>
    <row r="74" spans="1:11">
      <c r="B74" s="1383"/>
      <c r="D74" s="1387"/>
      <c r="E74" s="1387"/>
      <c r="F74" s="1387"/>
    </row>
    <row r="75" spans="1:11">
      <c r="A75" s="1389"/>
      <c r="B75" s="1381"/>
      <c r="C75" s="1381"/>
      <c r="D75" s="1381"/>
      <c r="E75" s="1381"/>
      <c r="F75" s="1381"/>
      <c r="G75" s="1381"/>
      <c r="H75" s="1381"/>
      <c r="I75" s="1381"/>
      <c r="J75" s="1381"/>
      <c r="K75" s="1381"/>
    </row>
    <row r="76" spans="1:11">
      <c r="A76" s="1381"/>
      <c r="B76" s="1381"/>
      <c r="C76" s="1381"/>
      <c r="D76" s="1381"/>
      <c r="E76" s="1381"/>
      <c r="F76" s="1381"/>
      <c r="G76" s="1381"/>
      <c r="H76" s="1381"/>
      <c r="I76" s="1381"/>
      <c r="J76" s="1381"/>
      <c r="K76" s="1381"/>
    </row>
    <row r="77" spans="1:11">
      <c r="A77" s="1381"/>
      <c r="B77" s="1381"/>
      <c r="C77" s="1381"/>
      <c r="D77" s="1381"/>
      <c r="E77" s="1381"/>
      <c r="F77" s="1381"/>
      <c r="G77" s="1381"/>
      <c r="H77" s="1381"/>
      <c r="I77" s="1381"/>
      <c r="J77" s="1381"/>
      <c r="K77" s="1381"/>
    </row>
    <row r="78" spans="1:11">
      <c r="A78" s="1381"/>
      <c r="B78" s="1381"/>
      <c r="C78" s="1381"/>
      <c r="D78" s="1381"/>
      <c r="E78" s="1381"/>
      <c r="F78" s="1381"/>
      <c r="G78" s="1381"/>
      <c r="H78" s="1381"/>
      <c r="I78" s="1381"/>
      <c r="J78" s="1381"/>
      <c r="K78" s="1381"/>
    </row>
    <row r="79" spans="1:11">
      <c r="A79" s="1381"/>
      <c r="B79" s="1381"/>
      <c r="C79" s="1381"/>
      <c r="D79" s="1390"/>
      <c r="E79" s="1390"/>
      <c r="F79" s="1390"/>
      <c r="G79" s="1381"/>
      <c r="H79" s="1381"/>
      <c r="I79" s="1381"/>
      <c r="J79" s="1381"/>
      <c r="K79" s="1381"/>
    </row>
    <row r="80" spans="1:11">
      <c r="A80" s="1381"/>
      <c r="B80" s="1381"/>
      <c r="C80" s="1381"/>
      <c r="D80" s="1384"/>
      <c r="E80" s="1384"/>
      <c r="F80" s="1384"/>
      <c r="G80" s="1381"/>
      <c r="H80" s="1381"/>
      <c r="I80" s="1381"/>
      <c r="J80" s="1381"/>
      <c r="K80" s="1381"/>
    </row>
    <row r="81" spans="1:11">
      <c r="A81" s="1381"/>
      <c r="B81" s="1381"/>
      <c r="C81" s="1381"/>
      <c r="D81" s="1390"/>
      <c r="E81" s="1390"/>
      <c r="F81" s="1390"/>
      <c r="G81" s="1381"/>
      <c r="H81" s="1381"/>
      <c r="I81" s="1381"/>
      <c r="J81" s="1381"/>
      <c r="K81" s="1381"/>
    </row>
    <row r="82" spans="1:11">
      <c r="A82" s="1381"/>
      <c r="B82" s="1381"/>
      <c r="C82" s="1381"/>
      <c r="D82" s="1381"/>
      <c r="E82" s="1381"/>
      <c r="F82" s="1381"/>
      <c r="G82" s="1381"/>
      <c r="H82" s="1381"/>
      <c r="I82" s="1381"/>
      <c r="J82" s="1381"/>
      <c r="K82" s="1381"/>
    </row>
    <row r="83" spans="1:11">
      <c r="A83" s="1381"/>
      <c r="B83" s="1381"/>
      <c r="C83" s="1381"/>
      <c r="D83" s="1381"/>
      <c r="E83" s="1381"/>
      <c r="F83" s="1381"/>
      <c r="G83" s="1381"/>
      <c r="H83" s="1381"/>
      <c r="I83" s="1381"/>
      <c r="J83" s="1381"/>
      <c r="K83" s="1381"/>
    </row>
    <row r="84" spans="1:11">
      <c r="A84" s="1381"/>
      <c r="B84" s="1381"/>
      <c r="C84" s="1381"/>
      <c r="D84" s="1381"/>
      <c r="E84" s="1381"/>
      <c r="F84" s="1381"/>
      <c r="G84" s="1381"/>
      <c r="H84" s="1381"/>
      <c r="I84" s="1381"/>
      <c r="J84" s="1381"/>
      <c r="K84" s="1381"/>
    </row>
    <row r="85" spans="1:11">
      <c r="A85" s="1381"/>
      <c r="C85" s="1381"/>
      <c r="D85" s="1381"/>
      <c r="E85" s="1381"/>
      <c r="F85" s="1381"/>
      <c r="G85" s="1381"/>
      <c r="H85" s="1381"/>
      <c r="I85" s="1381"/>
      <c r="J85" s="1381"/>
      <c r="K85" s="1381"/>
    </row>
    <row r="86" spans="1:11">
      <c r="A86" s="1381"/>
      <c r="B86" s="1381"/>
      <c r="C86" s="1381"/>
      <c r="D86" s="1381"/>
      <c r="E86" s="1381"/>
      <c r="F86" s="1381"/>
      <c r="G86" s="1381"/>
      <c r="H86" s="1381"/>
      <c r="I86" s="1381"/>
      <c r="J86" s="1381"/>
      <c r="K86" s="1381"/>
    </row>
    <row r="87" spans="1:11">
      <c r="A87" s="1381"/>
      <c r="B87" s="1381"/>
      <c r="C87" s="1381"/>
      <c r="D87" s="1381"/>
      <c r="E87" s="1381"/>
      <c r="F87" s="1381"/>
      <c r="G87" s="1381"/>
      <c r="H87" s="1381"/>
      <c r="I87" s="1381"/>
      <c r="J87" s="1381"/>
      <c r="K87" s="1381"/>
    </row>
  </sheetData>
  <mergeCells count="10">
    <mergeCell ref="R16:R17"/>
    <mergeCell ref="B27:C27"/>
    <mergeCell ref="B30:J35"/>
    <mergeCell ref="B39:J40"/>
    <mergeCell ref="B44:I45"/>
    <mergeCell ref="I9:J9"/>
    <mergeCell ref="K9:M9"/>
    <mergeCell ref="N9:O9"/>
    <mergeCell ref="P9:Q9"/>
    <mergeCell ref="P11:Q1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3787-3B10-4689-BD9D-7A9BA80752D1}">
  <dimension ref="A1:O42"/>
  <sheetViews>
    <sheetView workbookViewId="0">
      <selection activeCell="B40" sqref="B40:O40"/>
    </sheetView>
  </sheetViews>
  <sheetFormatPr defaultRowHeight="12.75"/>
  <cols>
    <col min="1" max="4" width="9.140625" style="1414"/>
    <col min="5" max="5" width="30.28515625" style="1414" bestFit="1" customWidth="1"/>
    <col min="6" max="6" width="13" style="1414" customWidth="1"/>
    <col min="7" max="7" width="9.140625" style="1414"/>
    <col min="8" max="8" width="15.28515625" style="1414" customWidth="1"/>
    <col min="9" max="9" width="2.42578125" style="1414" customWidth="1"/>
    <col min="10" max="10" width="14.7109375" style="1414" customWidth="1"/>
    <col min="11" max="11" width="2.5703125" style="1414" customWidth="1"/>
    <col min="12" max="12" width="18.42578125" style="1414" customWidth="1"/>
    <col min="13" max="13" width="13.42578125" style="1414" customWidth="1"/>
    <col min="14" max="14" width="4.42578125" style="1414" customWidth="1"/>
    <col min="15" max="15" width="15.28515625" style="1414" customWidth="1"/>
    <col min="16" max="16384" width="9.140625" style="1414"/>
  </cols>
  <sheetData>
    <row r="1" spans="1:15" ht="15">
      <c r="A1" s="1413" t="s">
        <v>938</v>
      </c>
      <c r="L1" s="1415"/>
      <c r="M1" s="1415"/>
      <c r="N1" s="1416"/>
      <c r="O1" s="1417" t="s">
        <v>939</v>
      </c>
    </row>
    <row r="2" spans="1:15">
      <c r="A2" s="1413" t="s">
        <v>940</v>
      </c>
      <c r="N2" s="1416"/>
      <c r="O2" s="1418" t="s">
        <v>941</v>
      </c>
    </row>
    <row r="3" spans="1:15">
      <c r="A3" s="1413" t="s">
        <v>942</v>
      </c>
      <c r="N3" s="1416"/>
      <c r="O3" s="1418" t="s">
        <v>943</v>
      </c>
    </row>
    <row r="4" spans="1:15">
      <c r="A4" s="1413" t="s">
        <v>944</v>
      </c>
      <c r="N4" s="1416"/>
      <c r="O4" s="1417" t="s">
        <v>945</v>
      </c>
    </row>
    <row r="5" spans="1:15">
      <c r="A5" s="1413" t="s">
        <v>946</v>
      </c>
      <c r="N5" s="1416"/>
      <c r="O5" s="1419"/>
    </row>
    <row r="6" spans="1:15">
      <c r="A6" s="1413" t="s">
        <v>818</v>
      </c>
      <c r="N6" s="1416"/>
    </row>
    <row r="7" spans="1:15">
      <c r="A7" s="1503" t="s">
        <v>947</v>
      </c>
      <c r="B7" s="1503"/>
      <c r="C7" s="1503"/>
      <c r="D7" s="1503"/>
      <c r="E7" s="1503"/>
      <c r="F7" s="1503"/>
      <c r="G7" s="1503"/>
      <c r="H7" s="1503"/>
      <c r="I7" s="1503"/>
      <c r="J7" s="1503"/>
      <c r="K7" s="1503"/>
      <c r="L7" s="1503"/>
      <c r="M7" s="1420"/>
      <c r="N7" s="1416"/>
    </row>
    <row r="8" spans="1:15">
      <c r="A8" s="1413"/>
      <c r="N8" s="1416"/>
    </row>
    <row r="9" spans="1:15">
      <c r="A9" s="1421" t="s">
        <v>438</v>
      </c>
      <c r="B9" s="1422" t="s">
        <v>439</v>
      </c>
      <c r="C9" s="1422"/>
      <c r="D9" s="1422" t="s">
        <v>440</v>
      </c>
      <c r="E9" s="1422" t="s">
        <v>441</v>
      </c>
      <c r="F9" s="1422" t="s">
        <v>442</v>
      </c>
      <c r="G9" s="1422"/>
      <c r="H9" s="1422" t="s">
        <v>948</v>
      </c>
      <c r="I9" s="1422"/>
      <c r="J9" s="1422" t="s">
        <v>444</v>
      </c>
      <c r="K9" s="1422"/>
      <c r="L9" s="1422" t="s">
        <v>949</v>
      </c>
      <c r="M9" s="1422" t="s">
        <v>446</v>
      </c>
      <c r="N9" s="1416"/>
      <c r="O9" s="1422" t="s">
        <v>950</v>
      </c>
    </row>
    <row r="10" spans="1:15">
      <c r="A10" s="1423"/>
      <c r="F10" s="1424"/>
      <c r="G10" s="1424"/>
      <c r="H10" s="1424"/>
      <c r="N10" s="1416"/>
    </row>
    <row r="11" spans="1:15" ht="63.75">
      <c r="A11" s="1423" t="s">
        <v>951</v>
      </c>
      <c r="B11" s="1414" t="s">
        <v>952</v>
      </c>
      <c r="D11" s="1425" t="s">
        <v>953</v>
      </c>
      <c r="E11" s="1422" t="s">
        <v>836</v>
      </c>
      <c r="F11" s="1425" t="s">
        <v>954</v>
      </c>
      <c r="G11" s="1425"/>
      <c r="H11" s="1425" t="s">
        <v>955</v>
      </c>
      <c r="J11" s="1425" t="s">
        <v>956</v>
      </c>
      <c r="L11" s="1425" t="s">
        <v>957</v>
      </c>
      <c r="M11" s="1425" t="s">
        <v>958</v>
      </c>
      <c r="N11" s="1416"/>
      <c r="O11" s="1425" t="s">
        <v>959</v>
      </c>
    </row>
    <row r="12" spans="1:15">
      <c r="A12" s="1413"/>
      <c r="D12" s="1416"/>
      <c r="E12" s="1416"/>
      <c r="F12" s="1416"/>
      <c r="G12" s="1416"/>
      <c r="H12" s="1416"/>
      <c r="I12" s="1416"/>
      <c r="J12" s="1416"/>
      <c r="K12" s="1416"/>
      <c r="L12" s="1416"/>
      <c r="M12" s="1416"/>
      <c r="N12" s="1416"/>
    </row>
    <row r="13" spans="1:15">
      <c r="A13" s="1426">
        <v>1</v>
      </c>
      <c r="B13" s="1427" t="s">
        <v>960</v>
      </c>
      <c r="D13" s="1416">
        <v>30979</v>
      </c>
      <c r="E13" s="1416" t="s">
        <v>961</v>
      </c>
      <c r="K13" s="1416"/>
      <c r="L13" s="1416"/>
      <c r="M13" s="1416"/>
      <c r="N13" s="1416"/>
    </row>
    <row r="14" spans="1:15">
      <c r="A14" s="1426">
        <f>+A13+1</f>
        <v>2</v>
      </c>
      <c r="B14" s="1427"/>
      <c r="D14" s="1428">
        <v>16823.240000000002</v>
      </c>
      <c r="E14" s="1416" t="s">
        <v>962</v>
      </c>
      <c r="F14" s="1429"/>
      <c r="G14" s="1430"/>
      <c r="H14" s="1429"/>
      <c r="I14" s="1429"/>
      <c r="J14" s="1429"/>
      <c r="K14" s="1416"/>
      <c r="L14" s="1416"/>
      <c r="M14" s="1416"/>
      <c r="N14" s="1416"/>
    </row>
    <row r="15" spans="1:15">
      <c r="A15" s="1426">
        <f>+A14+1</f>
        <v>3</v>
      </c>
      <c r="B15" s="1427" t="s">
        <v>963</v>
      </c>
      <c r="D15" s="1416">
        <f>+D13-D14</f>
        <v>14155.759999999998</v>
      </c>
      <c r="F15" s="1429">
        <v>4955.3</v>
      </c>
      <c r="G15" s="1430"/>
      <c r="H15" s="1431">
        <f>+F15/D15</f>
        <v>0.35005538381549284</v>
      </c>
      <c r="J15" s="1429">
        <f>-F15</f>
        <v>-4955.3</v>
      </c>
      <c r="K15" s="1429"/>
      <c r="L15" s="1429">
        <f>+F15+J15</f>
        <v>0</v>
      </c>
      <c r="M15" s="1429" t="s">
        <v>852</v>
      </c>
      <c r="N15" s="1416"/>
      <c r="O15" s="1416">
        <f>+D15-L15</f>
        <v>14155.759999999998</v>
      </c>
    </row>
    <row r="16" spans="1:15">
      <c r="A16" s="1413"/>
      <c r="B16" s="1427"/>
      <c r="D16" s="1416"/>
      <c r="E16" s="1416"/>
      <c r="F16" s="1432"/>
      <c r="G16" s="1430"/>
      <c r="J16" s="1429"/>
      <c r="K16" s="1429"/>
      <c r="L16" s="1429"/>
      <c r="M16" s="1429"/>
      <c r="N16" s="1416"/>
      <c r="O16" s="1416"/>
    </row>
    <row r="17" spans="1:15">
      <c r="A17" s="1426">
        <f>+A15+1</f>
        <v>4</v>
      </c>
      <c r="B17" s="1427" t="s">
        <v>964</v>
      </c>
      <c r="D17" s="1416">
        <v>-24138</v>
      </c>
      <c r="E17" s="1416" t="s">
        <v>965</v>
      </c>
      <c r="F17" s="1429">
        <v>-9654.89</v>
      </c>
      <c r="G17" s="1432"/>
      <c r="H17" s="1431">
        <f>+F17/D17</f>
        <v>0.39998715717955091</v>
      </c>
      <c r="J17" s="1429">
        <v>0</v>
      </c>
      <c r="K17" s="1429"/>
      <c r="L17" s="1429">
        <f>+F17+J17</f>
        <v>-9654.89</v>
      </c>
      <c r="M17" s="1429" t="s">
        <v>848</v>
      </c>
      <c r="N17" s="1416"/>
      <c r="O17" s="1416">
        <f>+D17-L17</f>
        <v>-14483.11</v>
      </c>
    </row>
    <row r="18" spans="1:15">
      <c r="A18" s="1426"/>
      <c r="B18" s="1427"/>
      <c r="D18" s="1416"/>
      <c r="E18" s="1416"/>
      <c r="F18" s="1429"/>
      <c r="G18" s="1429"/>
      <c r="J18" s="1429"/>
      <c r="K18" s="1429"/>
      <c r="L18" s="1429"/>
      <c r="M18" s="1429"/>
      <c r="N18" s="1416"/>
      <c r="O18" s="1416"/>
    </row>
    <row r="19" spans="1:15">
      <c r="A19" s="1426">
        <f>+A17+1</f>
        <v>5</v>
      </c>
      <c r="B19" s="1427" t="s">
        <v>966</v>
      </c>
      <c r="D19" s="1416">
        <v>-23866</v>
      </c>
      <c r="E19" s="1416" t="s">
        <v>967</v>
      </c>
      <c r="N19" s="1416"/>
      <c r="O19" s="1416"/>
    </row>
    <row r="20" spans="1:15">
      <c r="A20" s="1426">
        <f>+A19+1</f>
        <v>6</v>
      </c>
      <c r="B20" s="1427"/>
      <c r="D20" s="1428">
        <v>-17978</v>
      </c>
      <c r="E20" s="1416" t="s">
        <v>968</v>
      </c>
      <c r="F20" s="1429"/>
      <c r="G20" s="1433"/>
      <c r="H20" s="1431"/>
      <c r="J20" s="1429"/>
      <c r="K20" s="1429"/>
      <c r="L20" s="1429"/>
      <c r="M20" s="1429"/>
      <c r="N20" s="1416"/>
      <c r="O20" s="1416"/>
    </row>
    <row r="21" spans="1:15">
      <c r="A21" s="1426">
        <f>+A20+1</f>
        <v>7</v>
      </c>
      <c r="B21" s="1427" t="s">
        <v>969</v>
      </c>
      <c r="D21" s="1416">
        <f>+D19-D20</f>
        <v>-5888</v>
      </c>
      <c r="E21" s="1416"/>
      <c r="F21" s="1429">
        <v>-2355.25</v>
      </c>
      <c r="G21" s="1433"/>
      <c r="H21" s="1431">
        <f>+F21/D21</f>
        <v>0.40000849184782611</v>
      </c>
      <c r="J21" s="1429">
        <f>-J15-J17</f>
        <v>4955.3</v>
      </c>
      <c r="K21" s="1429"/>
      <c r="L21" s="1429">
        <f>+F21+J21</f>
        <v>2600.0500000000002</v>
      </c>
      <c r="M21" s="1429" t="s">
        <v>852</v>
      </c>
      <c r="N21" s="1416"/>
      <c r="O21" s="1416">
        <f>+D21-L21</f>
        <v>-8488.0499999999993</v>
      </c>
    </row>
    <row r="22" spans="1:15">
      <c r="A22" s="1413"/>
      <c r="D22" s="1416"/>
      <c r="E22" s="1416"/>
      <c r="F22" s="1429"/>
      <c r="G22" s="1434"/>
      <c r="J22" s="1429"/>
      <c r="K22" s="1429"/>
      <c r="L22" s="1429"/>
      <c r="M22" s="1429"/>
      <c r="N22" s="1416"/>
    </row>
    <row r="23" spans="1:15">
      <c r="A23" s="1426">
        <f>+A21+1</f>
        <v>8</v>
      </c>
      <c r="B23" s="1414" t="s">
        <v>410</v>
      </c>
      <c r="D23" s="1435">
        <f>+D15+D17+D21</f>
        <v>-15870.240000000002</v>
      </c>
      <c r="E23" s="1416"/>
      <c r="F23" s="1435">
        <f>SUM(F14:F21)</f>
        <v>-7054.8399999999992</v>
      </c>
      <c r="J23" s="1435">
        <f>+J15+J17+J21</f>
        <v>0</v>
      </c>
      <c r="K23" s="1416"/>
      <c r="L23" s="1435">
        <f>+L15+L17+L21</f>
        <v>-7054.8399999999992</v>
      </c>
      <c r="M23" s="1436"/>
      <c r="N23" s="1416"/>
      <c r="O23" s="1435">
        <f>+O15+O17+O21</f>
        <v>-8815.4000000000015</v>
      </c>
    </row>
    <row r="24" spans="1:15">
      <c r="A24" s="1413"/>
      <c r="D24" s="1416"/>
      <c r="E24" s="1437"/>
      <c r="F24" s="1431"/>
      <c r="G24" s="1416"/>
      <c r="H24" s="1416"/>
      <c r="I24" s="1416"/>
      <c r="J24" s="1416"/>
      <c r="K24" s="1416"/>
      <c r="L24" s="1416"/>
      <c r="M24" s="1416"/>
      <c r="N24" s="1416"/>
    </row>
    <row r="25" spans="1:15">
      <c r="A25" s="1413"/>
      <c r="D25" s="1416"/>
      <c r="E25" s="1437"/>
      <c r="F25" s="1431"/>
      <c r="G25" s="1416"/>
      <c r="H25" s="1416"/>
      <c r="I25" s="1416"/>
      <c r="J25" s="1416"/>
      <c r="K25" s="1416"/>
      <c r="L25" s="1416"/>
      <c r="M25" s="1416"/>
      <c r="N25" s="1416"/>
    </row>
    <row r="26" spans="1:15">
      <c r="A26" s="1504" t="s">
        <v>970</v>
      </c>
      <c r="B26" s="1504"/>
      <c r="C26" s="1504"/>
      <c r="D26" s="1504"/>
      <c r="E26" s="1504"/>
      <c r="F26" s="1504"/>
      <c r="G26" s="1504"/>
      <c r="H26" s="1504"/>
      <c r="I26" s="1504"/>
      <c r="J26" s="1438"/>
      <c r="K26" s="1438"/>
      <c r="L26" s="1416"/>
      <c r="M26" s="1416"/>
      <c r="N26" s="1416"/>
    </row>
    <row r="27" spans="1:15">
      <c r="A27" s="1504"/>
      <c r="B27" s="1504"/>
      <c r="C27" s="1504"/>
      <c r="D27" s="1504"/>
      <c r="E27" s="1504"/>
      <c r="F27" s="1504"/>
      <c r="G27" s="1504"/>
      <c r="H27" s="1504"/>
      <c r="I27" s="1504"/>
      <c r="J27" s="1438"/>
      <c r="K27" s="1438"/>
      <c r="L27" s="1416"/>
      <c r="M27" s="1416"/>
      <c r="N27" s="1416"/>
    </row>
    <row r="28" spans="1:15">
      <c r="A28" s="1504"/>
      <c r="B28" s="1504"/>
      <c r="C28" s="1504"/>
      <c r="D28" s="1504"/>
      <c r="E28" s="1504"/>
      <c r="F28" s="1504"/>
      <c r="G28" s="1504"/>
      <c r="H28" s="1504"/>
      <c r="I28" s="1504"/>
      <c r="J28" s="1438"/>
      <c r="K28" s="1438"/>
      <c r="L28" s="1416"/>
      <c r="M28" s="1416"/>
      <c r="N28" s="1416"/>
    </row>
    <row r="29" spans="1:15">
      <c r="A29" s="1439"/>
      <c r="B29" s="1439"/>
      <c r="C29" s="1439"/>
      <c r="D29" s="1439"/>
      <c r="E29" s="1439"/>
      <c r="F29" s="1439"/>
      <c r="G29" s="1439"/>
      <c r="H29" s="1439"/>
      <c r="I29" s="1439"/>
      <c r="J29" s="1438"/>
      <c r="K29" s="1438"/>
      <c r="L29" s="1416"/>
      <c r="M29" s="1416"/>
      <c r="N29" s="1416"/>
    </row>
    <row r="30" spans="1:15" ht="12.75" customHeight="1">
      <c r="A30" s="1440" t="s">
        <v>971</v>
      </c>
      <c r="B30" s="1505" t="s">
        <v>972</v>
      </c>
      <c r="C30" s="1505"/>
      <c r="D30" s="1505"/>
      <c r="E30" s="1505"/>
      <c r="F30" s="1505"/>
      <c r="G30" s="1505"/>
      <c r="H30" s="1505"/>
      <c r="I30" s="1505"/>
      <c r="J30" s="1505"/>
      <c r="K30" s="1505"/>
      <c r="L30" s="1505"/>
      <c r="M30" s="1505"/>
      <c r="N30" s="1505"/>
      <c r="O30" s="1505"/>
    </row>
    <row r="31" spans="1:15">
      <c r="A31" s="1440"/>
      <c r="B31" s="1505"/>
      <c r="C31" s="1505"/>
      <c r="D31" s="1505"/>
      <c r="E31" s="1505"/>
      <c r="F31" s="1505"/>
      <c r="G31" s="1505"/>
      <c r="H31" s="1505"/>
      <c r="I31" s="1505"/>
      <c r="J31" s="1505"/>
      <c r="K31" s="1505"/>
      <c r="L31" s="1505"/>
      <c r="M31" s="1505"/>
      <c r="N31" s="1505"/>
      <c r="O31" s="1505"/>
    </row>
    <row r="32" spans="1:15">
      <c r="A32" s="1440"/>
      <c r="B32" s="1505"/>
      <c r="C32" s="1505"/>
      <c r="D32" s="1505"/>
      <c r="E32" s="1505"/>
      <c r="F32" s="1505"/>
      <c r="G32" s="1505"/>
      <c r="H32" s="1505"/>
      <c r="I32" s="1505"/>
      <c r="J32" s="1505"/>
      <c r="K32" s="1505"/>
      <c r="L32" s="1505"/>
      <c r="M32" s="1505"/>
      <c r="N32" s="1505"/>
      <c r="O32" s="1505"/>
    </row>
    <row r="33" spans="1:15">
      <c r="A33" s="1441"/>
      <c r="B33" s="1442"/>
      <c r="C33" s="1442"/>
      <c r="D33" s="1442"/>
      <c r="E33" s="1442"/>
      <c r="F33" s="1442"/>
      <c r="G33" s="1442"/>
      <c r="H33" s="1442"/>
      <c r="I33" s="1442"/>
      <c r="J33" s="1442"/>
      <c r="K33" s="1442"/>
      <c r="N33" s="1416"/>
    </row>
    <row r="34" spans="1:15" ht="12.75" customHeight="1">
      <c r="A34" s="1423" t="s">
        <v>973</v>
      </c>
      <c r="B34" s="1506" t="s">
        <v>974</v>
      </c>
      <c r="C34" s="1506"/>
      <c r="D34" s="1506"/>
      <c r="E34" s="1506"/>
      <c r="F34" s="1506"/>
      <c r="G34" s="1506"/>
      <c r="H34" s="1506"/>
      <c r="I34" s="1506"/>
      <c r="J34" s="1506"/>
      <c r="K34" s="1506"/>
      <c r="L34" s="1506"/>
      <c r="M34" s="1506"/>
      <c r="N34" s="1416"/>
    </row>
    <row r="35" spans="1:15">
      <c r="A35" s="1423"/>
      <c r="B35" s="1506"/>
      <c r="C35" s="1506"/>
      <c r="D35" s="1506"/>
      <c r="E35" s="1506"/>
      <c r="F35" s="1506"/>
      <c r="G35" s="1506"/>
      <c r="H35" s="1506"/>
      <c r="I35" s="1506"/>
      <c r="J35" s="1506"/>
      <c r="K35" s="1506"/>
      <c r="L35" s="1506"/>
      <c r="M35" s="1506"/>
      <c r="N35" s="1416"/>
    </row>
    <row r="36" spans="1:15">
      <c r="A36" s="1423"/>
      <c r="N36" s="1416"/>
    </row>
    <row r="37" spans="1:15" ht="12.75" customHeight="1">
      <c r="A37" s="1423" t="s">
        <v>975</v>
      </c>
      <c r="B37" s="1506" t="s">
        <v>976</v>
      </c>
      <c r="C37" s="1506"/>
      <c r="D37" s="1506"/>
      <c r="E37" s="1506"/>
      <c r="F37" s="1506"/>
      <c r="G37" s="1506"/>
      <c r="H37" s="1506"/>
      <c r="I37" s="1506"/>
      <c r="J37" s="1506"/>
      <c r="K37" s="1506"/>
      <c r="N37" s="1416"/>
    </row>
    <row r="38" spans="1:15">
      <c r="A38" s="1423"/>
      <c r="B38" s="1506"/>
      <c r="C38" s="1506"/>
      <c r="D38" s="1506"/>
      <c r="E38" s="1506"/>
      <c r="F38" s="1506"/>
      <c r="G38" s="1506"/>
      <c r="H38" s="1506"/>
      <c r="I38" s="1506"/>
      <c r="J38" s="1506"/>
      <c r="K38" s="1506"/>
      <c r="N38" s="1416"/>
    </row>
    <row r="40" spans="1:15" ht="12.75" customHeight="1">
      <c r="A40" s="1423" t="s">
        <v>977</v>
      </c>
      <c r="B40" s="1502" t="s">
        <v>978</v>
      </c>
      <c r="C40" s="1502"/>
      <c r="D40" s="1502"/>
      <c r="E40" s="1502"/>
      <c r="F40" s="1502"/>
      <c r="G40" s="1502"/>
      <c r="H40" s="1502"/>
      <c r="I40" s="1502"/>
      <c r="J40" s="1502"/>
      <c r="K40" s="1502"/>
      <c r="L40" s="1502"/>
      <c r="M40" s="1502"/>
      <c r="N40" s="1502"/>
      <c r="O40" s="1502"/>
    </row>
    <row r="41" spans="1:15">
      <c r="A41" s="1423"/>
      <c r="B41" s="1423"/>
      <c r="C41" s="1423"/>
      <c r="D41" s="1423"/>
      <c r="E41" s="1423"/>
      <c r="F41" s="1423"/>
      <c r="G41" s="1423"/>
      <c r="H41" s="1423"/>
    </row>
    <row r="42" spans="1:15">
      <c r="O42" s="1416"/>
    </row>
  </sheetData>
  <mergeCells count="6">
    <mergeCell ref="B40:O40"/>
    <mergeCell ref="A7:L7"/>
    <mergeCell ref="A26:I28"/>
    <mergeCell ref="B30:O32"/>
    <mergeCell ref="B34:M35"/>
    <mergeCell ref="B37:K38"/>
  </mergeCell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pageSetUpPr fitToPage="1"/>
  </sheetPr>
  <dimension ref="A1:O105"/>
  <sheetViews>
    <sheetView view="pageBreakPreview" topLeftCell="A34" zoomScale="70" zoomScaleNormal="75" zoomScaleSheetLayoutView="70" workbookViewId="0">
      <selection activeCell="D39" sqref="D39"/>
    </sheetView>
  </sheetViews>
  <sheetFormatPr defaultColWidth="11.42578125" defaultRowHeight="12.75"/>
  <cols>
    <col min="1" max="1" width="8.140625" style="424" customWidth="1"/>
    <col min="2" max="2" width="12.140625" style="422" customWidth="1"/>
    <col min="3" max="3" width="41.7109375" style="422" customWidth="1"/>
    <col min="4" max="4" width="30" style="422" customWidth="1"/>
    <col min="5" max="5" width="22.140625" style="427" customWidth="1"/>
    <col min="6" max="6" width="1" style="427" customWidth="1"/>
    <col min="7" max="7" width="20.85546875" style="422" customWidth="1"/>
    <col min="8" max="8" width="1" style="422" customWidth="1"/>
    <col min="9" max="9" width="19.140625" style="422" customWidth="1"/>
    <col min="10" max="10" width="16.7109375" style="422" customWidth="1"/>
    <col min="11" max="11" width="15.28515625" style="422" customWidth="1"/>
    <col min="12" max="12" width="34" style="422" customWidth="1"/>
    <col min="13" max="13" width="21.28515625" style="422" customWidth="1"/>
    <col min="14" max="14" width="13.42578125" style="422" customWidth="1"/>
    <col min="15" max="15" width="13.7109375" style="422" customWidth="1"/>
    <col min="16" max="16384" width="11.42578125" style="422"/>
  </cols>
  <sheetData>
    <row r="1" spans="1:15" ht="15.75">
      <c r="A1" s="1005" t="s">
        <v>406</v>
      </c>
    </row>
    <row r="2" spans="1:15" ht="15.75">
      <c r="A2" s="1005" t="s">
        <v>406</v>
      </c>
    </row>
    <row r="3" spans="1:15" ht="15">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1481" t="str">
        <f>TCOS!$F$5</f>
        <v>AEPTCo subsidiaries in PJM</v>
      </c>
      <c r="G3" s="1481" t="str">
        <f>TCOS!$F$5</f>
        <v>AEPTCo subsidiaries in PJM</v>
      </c>
      <c r="H3" s="1481" t="str">
        <f>TCOS!$F$5</f>
        <v>AEPTCo subsidiaries in PJM</v>
      </c>
      <c r="I3" s="1481" t="str">
        <f>TCOS!$F$5</f>
        <v>AEPTCo subsidiaries in PJM</v>
      </c>
      <c r="J3" s="1481" t="str">
        <f>TCOS!$F$5</f>
        <v>AEPTCo subsidiaries in PJM</v>
      </c>
      <c r="K3" s="1481" t="str">
        <f>TCOS!$F$5</f>
        <v>AEPTCo subsidiaries in PJM</v>
      </c>
      <c r="L3" s="1481" t="str">
        <f>TCOS!$F$5</f>
        <v>AEPTCo subsidiaries in PJM</v>
      </c>
      <c r="M3" s="421"/>
      <c r="N3" s="421"/>
      <c r="O3" s="421"/>
    </row>
    <row r="4" spans="1:15" ht="15">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441"/>
      <c r="N4" s="441"/>
      <c r="O4" s="441"/>
    </row>
    <row r="5" spans="1:15" ht="15">
      <c r="A5" s="1509" t="s">
        <v>283</v>
      </c>
      <c r="B5" s="1509"/>
      <c r="C5" s="1509"/>
      <c r="D5" s="1509"/>
      <c r="E5" s="1509"/>
      <c r="F5" s="1509"/>
      <c r="G5" s="1509"/>
      <c r="H5" s="1509"/>
      <c r="I5" s="1509"/>
      <c r="J5" s="1509"/>
      <c r="K5" s="1509"/>
      <c r="L5" s="1509"/>
      <c r="M5" s="423"/>
      <c r="N5" s="423"/>
      <c r="O5" s="423"/>
    </row>
    <row r="6" spans="1:15" ht="15">
      <c r="A6" s="1510" t="str">
        <f>TCOS!F9</f>
        <v>AEP Appalachian Transmission Company</v>
      </c>
      <c r="B6" s="1510"/>
      <c r="C6" s="1510"/>
      <c r="D6" s="1510"/>
      <c r="E6" s="1510"/>
      <c r="F6" s="1510"/>
      <c r="G6" s="1510"/>
      <c r="H6" s="1510"/>
      <c r="I6" s="1510"/>
      <c r="J6" s="1510"/>
      <c r="K6" s="1510"/>
      <c r="L6" s="1510"/>
      <c r="M6" s="169"/>
      <c r="N6" s="169"/>
      <c r="O6" s="169"/>
    </row>
    <row r="7" spans="1:15" ht="15">
      <c r="A7" s="169"/>
      <c r="B7" s="169"/>
      <c r="C7" s="169"/>
      <c r="D7" s="169"/>
      <c r="E7" s="169"/>
      <c r="F7" s="169"/>
      <c r="G7" s="169"/>
      <c r="H7" s="442"/>
      <c r="I7" s="437"/>
      <c r="J7" s="437"/>
      <c r="K7" s="437"/>
      <c r="L7" s="437"/>
      <c r="M7" s="437"/>
      <c r="N7" s="437"/>
      <c r="O7" s="437"/>
    </row>
    <row r="8" spans="1:15" ht="12.75" customHeight="1">
      <c r="A8" s="443"/>
      <c r="B8" s="443" t="s">
        <v>452</v>
      </c>
      <c r="C8" s="443" t="s">
        <v>453</v>
      </c>
      <c r="D8" s="444" t="s">
        <v>323</v>
      </c>
      <c r="E8" s="444" t="s">
        <v>455</v>
      </c>
      <c r="F8" s="443"/>
      <c r="G8" s="443" t="s">
        <v>375</v>
      </c>
      <c r="H8" s="443"/>
      <c r="I8" s="443" t="s">
        <v>376</v>
      </c>
      <c r="J8" s="443" t="s">
        <v>377</v>
      </c>
      <c r="K8" s="443" t="s">
        <v>382</v>
      </c>
      <c r="L8" s="443" t="s">
        <v>288</v>
      </c>
      <c r="M8" s="443"/>
      <c r="N8" s="443"/>
      <c r="O8" s="443"/>
    </row>
    <row r="9" spans="1:15">
      <c r="A9" s="438"/>
    </row>
    <row r="10" spans="1:15" ht="18">
      <c r="A10" s="429"/>
      <c r="B10" s="1508" t="s">
        <v>489</v>
      </c>
      <c r="C10" s="1508"/>
      <c r="D10" s="1508"/>
      <c r="E10" s="1508"/>
      <c r="F10" s="1508"/>
      <c r="G10" s="1508"/>
      <c r="H10" s="1508"/>
      <c r="I10" s="1508"/>
      <c r="J10" s="1508"/>
      <c r="K10" s="1508"/>
      <c r="O10" s="427"/>
    </row>
    <row r="11" spans="1:15">
      <c r="A11" s="429"/>
      <c r="I11" s="156"/>
      <c r="J11" s="156"/>
      <c r="O11" s="427"/>
    </row>
    <row r="12" spans="1:15" ht="12.75" customHeight="1">
      <c r="A12" s="425" t="s">
        <v>459</v>
      </c>
      <c r="B12" s="433"/>
      <c r="C12" s="445"/>
      <c r="D12" s="446"/>
      <c r="E12" s="1512" t="str">
        <f>"Balance @ December 31, "&amp;TCOS!L4&amp;""</f>
        <v>Balance @ December 31, 2025</v>
      </c>
      <c r="F12" s="446"/>
      <c r="G12" s="1512" t="str">
        <f>"Balance @ December 31, "&amp;TCOS!L4-1&amp;""</f>
        <v>Balance @ December 31, 2024</v>
      </c>
      <c r="H12" s="447"/>
      <c r="I12" s="1514" t="str">
        <f>"Average Balance for "&amp;TCOS!L4&amp;""</f>
        <v>Average Balance for 2025</v>
      </c>
      <c r="J12" s="426"/>
      <c r="K12" s="430"/>
      <c r="L12" s="448"/>
      <c r="M12" s="430"/>
      <c r="N12" s="430"/>
      <c r="O12" s="427"/>
    </row>
    <row r="13" spans="1:15">
      <c r="A13" s="425" t="s">
        <v>397</v>
      </c>
      <c r="B13" s="431"/>
      <c r="C13" s="433"/>
      <c r="D13" s="449" t="s">
        <v>488</v>
      </c>
      <c r="E13" s="1513"/>
      <c r="F13" s="450"/>
      <c r="G13" s="1513"/>
      <c r="H13" s="451"/>
      <c r="I13" s="1515"/>
      <c r="J13" s="426"/>
      <c r="K13" s="452"/>
      <c r="L13" s="453"/>
      <c r="M13" s="428"/>
      <c r="N13" s="428"/>
    </row>
    <row r="14" spans="1:15">
      <c r="A14" s="431"/>
      <c r="B14" s="431"/>
      <c r="C14" s="433"/>
      <c r="D14" s="454"/>
      <c r="E14" s="436"/>
      <c r="F14" s="436"/>
      <c r="G14" s="455"/>
      <c r="H14" s="435"/>
      <c r="J14" s="156"/>
      <c r="K14" s="452"/>
      <c r="L14" s="453"/>
      <c r="M14" s="428"/>
      <c r="N14" s="428"/>
    </row>
    <row r="15" spans="1:15">
      <c r="A15" s="431">
        <v>1</v>
      </c>
      <c r="B15" s="431"/>
      <c r="D15" s="456"/>
      <c r="E15" s="457"/>
      <c r="F15" s="436"/>
      <c r="G15" s="457"/>
      <c r="H15" s="457"/>
      <c r="I15" s="457"/>
      <c r="K15" s="457"/>
      <c r="L15" s="457"/>
      <c r="M15" s="428"/>
      <c r="N15" s="428"/>
    </row>
    <row r="16" spans="1:15">
      <c r="A16" s="431"/>
      <c r="B16" s="431"/>
      <c r="C16" s="456"/>
      <c r="D16" s="456"/>
      <c r="E16" s="457"/>
      <c r="F16" s="436"/>
      <c r="G16" s="457"/>
      <c r="H16" s="457"/>
      <c r="I16" s="457"/>
      <c r="K16" s="457"/>
      <c r="L16" s="457"/>
      <c r="M16" s="428"/>
      <c r="N16" s="428"/>
    </row>
    <row r="17" spans="1:14">
      <c r="A17" s="431">
        <f>+A15+1</f>
        <v>2</v>
      </c>
      <c r="B17" s="431"/>
      <c r="C17" s="456" t="s">
        <v>316</v>
      </c>
      <c r="D17" s="432" t="s">
        <v>210</v>
      </c>
      <c r="E17" s="501">
        <v>0</v>
      </c>
      <c r="F17" s="436"/>
      <c r="G17" s="501">
        <v>0</v>
      </c>
      <c r="H17" s="457"/>
      <c r="I17" s="434">
        <f>IF(G17="",0,(E17+G17)/2)</f>
        <v>0</v>
      </c>
      <c r="J17" s="173"/>
      <c r="K17" s="434"/>
      <c r="L17" s="457"/>
      <c r="M17" s="428"/>
      <c r="N17" s="428"/>
    </row>
    <row r="18" spans="1:14">
      <c r="A18" s="431"/>
      <c r="B18" s="431"/>
      <c r="C18" s="456"/>
      <c r="D18" s="173"/>
      <c r="E18" s="173"/>
      <c r="F18" s="173"/>
      <c r="G18" s="173"/>
      <c r="H18" s="173"/>
      <c r="I18" s="348"/>
      <c r="J18" s="173"/>
      <c r="K18" s="173"/>
      <c r="L18" s="457"/>
      <c r="M18" s="428"/>
      <c r="N18" s="428"/>
    </row>
    <row r="19" spans="1:14">
      <c r="A19" s="431">
        <f>+A17+1</f>
        <v>3</v>
      </c>
      <c r="B19" s="431"/>
      <c r="C19" s="456" t="s">
        <v>317</v>
      </c>
      <c r="D19" s="432" t="s">
        <v>211</v>
      </c>
      <c r="E19" s="501"/>
      <c r="F19" s="436"/>
      <c r="G19" s="501"/>
      <c r="H19" s="435"/>
      <c r="I19" s="434">
        <f>IF(G19="",0,(E19+G19)/2)</f>
        <v>0</v>
      </c>
      <c r="J19" s="156"/>
      <c r="K19" s="452"/>
      <c r="L19" s="453"/>
      <c r="M19" s="428"/>
      <c r="N19" s="428"/>
    </row>
    <row r="20" spans="1:14">
      <c r="A20" s="431"/>
      <c r="B20" s="431"/>
      <c r="C20" s="456"/>
      <c r="D20" s="432"/>
      <c r="E20" s="173"/>
      <c r="F20" s="173"/>
      <c r="G20" s="173"/>
      <c r="H20" s="173"/>
      <c r="I20" s="173"/>
      <c r="J20" s="173"/>
      <c r="K20" s="452"/>
      <c r="L20" s="453"/>
      <c r="M20" s="428"/>
      <c r="N20" s="428"/>
    </row>
    <row r="21" spans="1:14">
      <c r="A21" s="431">
        <f>+A19+1</f>
        <v>4</v>
      </c>
      <c r="B21" s="431"/>
      <c r="C21" s="42" t="s">
        <v>766</v>
      </c>
      <c r="D21" s="432" t="s">
        <v>212</v>
      </c>
      <c r="E21" s="501"/>
      <c r="F21" s="436"/>
      <c r="G21" s="501"/>
      <c r="H21" s="435"/>
      <c r="I21" s="434">
        <f>IF(G21="",0,(E21+G21)/2)</f>
        <v>0</v>
      </c>
      <c r="J21" s="156"/>
      <c r="K21" s="452"/>
      <c r="L21" s="453"/>
      <c r="M21" s="428"/>
      <c r="N21" s="428"/>
    </row>
    <row r="22" spans="1:14">
      <c r="A22" s="431"/>
      <c r="B22" s="431"/>
      <c r="C22" s="433"/>
      <c r="D22" s="454"/>
      <c r="E22" s="436"/>
      <c r="F22" s="436"/>
      <c r="G22" s="427"/>
      <c r="H22" s="435"/>
      <c r="I22" s="427"/>
      <c r="J22" s="156"/>
      <c r="K22" s="452"/>
      <c r="L22" s="453"/>
      <c r="M22" s="428"/>
      <c r="N22" s="428"/>
    </row>
    <row r="23" spans="1:14">
      <c r="A23" s="458"/>
      <c r="B23" s="458"/>
      <c r="C23" s="459"/>
      <c r="D23" s="460"/>
      <c r="E23" s="461"/>
      <c r="F23" s="461"/>
      <c r="G23" s="462"/>
      <c r="H23" s="463"/>
      <c r="I23" s="462"/>
      <c r="J23" s="464"/>
      <c r="K23" s="465"/>
      <c r="L23" s="466"/>
      <c r="M23" s="428"/>
      <c r="N23" s="428"/>
    </row>
    <row r="24" spans="1:14" ht="18">
      <c r="A24" s="431"/>
      <c r="B24" s="1508" t="s">
        <v>767</v>
      </c>
      <c r="C24" s="1508"/>
      <c r="D24" s="1508"/>
      <c r="E24" s="1508"/>
      <c r="F24" s="1508"/>
      <c r="G24" s="1508"/>
      <c r="H24" s="1508"/>
      <c r="I24" s="1508"/>
      <c r="J24" s="1508"/>
      <c r="K24" s="1508"/>
      <c r="L24" s="453"/>
      <c r="M24" s="428"/>
      <c r="N24" s="428"/>
    </row>
    <row r="25" spans="1:14" ht="12.75" customHeight="1">
      <c r="A25" s="431"/>
      <c r="B25" s="467"/>
      <c r="C25" s="433"/>
      <c r="D25" s="468"/>
      <c r="E25" s="469"/>
      <c r="F25" s="422"/>
      <c r="G25" s="469" t="s">
        <v>378</v>
      </c>
      <c r="I25" s="470" t="s">
        <v>407</v>
      </c>
      <c r="J25" s="470" t="s">
        <v>407</v>
      </c>
      <c r="K25" s="470" t="s">
        <v>469</v>
      </c>
      <c r="L25" s="453"/>
      <c r="M25" s="428"/>
      <c r="N25" s="428"/>
    </row>
    <row r="26" spans="1:14" ht="12.75" customHeight="1">
      <c r="A26" s="431"/>
      <c r="B26" s="467"/>
      <c r="C26" s="433"/>
      <c r="D26" s="471" t="s">
        <v>289</v>
      </c>
      <c r="E26" s="470" t="s">
        <v>319</v>
      </c>
      <c r="F26" s="422"/>
      <c r="G26" s="470" t="s">
        <v>407</v>
      </c>
      <c r="I26" s="470" t="s">
        <v>309</v>
      </c>
      <c r="J26" s="470" t="s">
        <v>451</v>
      </c>
      <c r="K26" s="470" t="s">
        <v>470</v>
      </c>
      <c r="L26" s="453"/>
      <c r="M26" s="428"/>
      <c r="N26" s="428"/>
    </row>
    <row r="27" spans="1:14" ht="12.75" customHeight="1">
      <c r="A27" s="431">
        <f>+A21+1</f>
        <v>5</v>
      </c>
      <c r="B27" s="467"/>
      <c r="C27" s="433"/>
      <c r="D27" s="472" t="s">
        <v>379</v>
      </c>
      <c r="E27" s="472" t="s">
        <v>290</v>
      </c>
      <c r="F27" s="422"/>
      <c r="G27" s="472" t="s">
        <v>310</v>
      </c>
      <c r="I27" s="472" t="s">
        <v>310</v>
      </c>
      <c r="J27" s="472" t="s">
        <v>310</v>
      </c>
      <c r="K27" s="472" t="s">
        <v>311</v>
      </c>
      <c r="L27" s="453"/>
      <c r="M27" s="428"/>
      <c r="N27" s="428"/>
    </row>
    <row r="28" spans="1:14">
      <c r="A28" s="431"/>
      <c r="B28" s="431"/>
      <c r="C28" s="433"/>
      <c r="D28" s="454"/>
      <c r="E28" s="436"/>
      <c r="F28" s="436"/>
      <c r="G28" s="427"/>
      <c r="H28" s="435"/>
      <c r="I28" s="427"/>
      <c r="J28" s="156"/>
      <c r="K28" s="473"/>
      <c r="L28" s="453"/>
      <c r="M28" s="428"/>
      <c r="N28" s="428"/>
    </row>
    <row r="29" spans="1:14">
      <c r="A29" s="431">
        <f>+A27+1</f>
        <v>6</v>
      </c>
      <c r="B29" s="431"/>
      <c r="C29" s="422" t="str">
        <f>"Totals as of December 31, "&amp;TCOS!L4&amp;""</f>
        <v>Totals as of December 31, 2025</v>
      </c>
      <c r="D29" s="474">
        <f>ROUND(D55,0)</f>
        <v>26812</v>
      </c>
      <c r="E29" s="475">
        <f>ROUND(E55,0)</f>
        <v>0</v>
      </c>
      <c r="F29" s="476"/>
      <c r="G29" s="474">
        <f>ROUND(G55,0)</f>
        <v>0</v>
      </c>
      <c r="H29" s="435"/>
      <c r="I29" s="474">
        <f>ROUND(I55,0)</f>
        <v>26812</v>
      </c>
      <c r="J29" s="477">
        <f>+J55</f>
        <v>0</v>
      </c>
      <c r="K29" s="474">
        <f>ROUND(K55,0)</f>
        <v>26812</v>
      </c>
      <c r="L29" s="453"/>
      <c r="M29" s="428"/>
      <c r="N29" s="428"/>
    </row>
    <row r="30" spans="1:14">
      <c r="A30" s="431">
        <f>+A29+1</f>
        <v>7</v>
      </c>
      <c r="B30" s="431"/>
      <c r="C30" s="422" t="str">
        <f>"Totals as of December 31, "&amp;(TCOS!L4-1)&amp;""</f>
        <v>Totals as of December 31, 2024</v>
      </c>
      <c r="D30" s="478">
        <f>ROUND(D79,0)</f>
        <v>26812</v>
      </c>
      <c r="E30" s="479">
        <f>ROUND(E79,0)</f>
        <v>0</v>
      </c>
      <c r="F30" s="436"/>
      <c r="G30" s="478">
        <f>ROUND(G79,0)</f>
        <v>0</v>
      </c>
      <c r="H30" s="435"/>
      <c r="I30" s="478">
        <f>ROUND(I79,0)</f>
        <v>26812</v>
      </c>
      <c r="J30" s="478">
        <f>+J79</f>
        <v>0</v>
      </c>
      <c r="K30" s="478">
        <f>ROUND(K79,0)</f>
        <v>26812</v>
      </c>
      <c r="L30" s="453"/>
      <c r="M30" s="428"/>
      <c r="N30" s="428"/>
    </row>
    <row r="31" spans="1:14" ht="13.5" thickBot="1">
      <c r="A31" s="431">
        <f>+A30+1</f>
        <v>8</v>
      </c>
      <c r="B31" s="431"/>
      <c r="C31" s="480" t="s">
        <v>495</v>
      </c>
      <c r="D31" s="481">
        <f>IF(D30="",0,(D29+D30)/2)</f>
        <v>26812</v>
      </c>
      <c r="E31" s="481">
        <f>IF(E30="",0,(E29+E30)/2)</f>
        <v>0</v>
      </c>
      <c r="F31" s="482"/>
      <c r="G31" s="481">
        <f>IF(G30="",0,(G29+G30)/2)</f>
        <v>0</v>
      </c>
      <c r="H31" s="483"/>
      <c r="I31" s="481">
        <f>IF(I30="",0,(I29+I30)/2)</f>
        <v>26812</v>
      </c>
      <c r="J31" s="481">
        <f>IF(J30="",0,(J29+J30)/2)</f>
        <v>0</v>
      </c>
      <c r="K31" s="481">
        <f>IF(K30="",0,(K29+K30)/2)</f>
        <v>26812</v>
      </c>
      <c r="L31" s="453"/>
      <c r="M31" s="428"/>
      <c r="N31" s="428"/>
    </row>
    <row r="32" spans="1:14" ht="13.5" thickTop="1">
      <c r="A32" s="431"/>
      <c r="B32" s="431"/>
      <c r="D32" s="454"/>
      <c r="E32" s="436"/>
      <c r="F32" s="436"/>
      <c r="G32" s="427"/>
      <c r="H32" s="435"/>
      <c r="I32" s="427"/>
      <c r="J32" s="156"/>
      <c r="K32" s="452"/>
      <c r="L32" s="453"/>
      <c r="M32" s="428"/>
      <c r="N32" s="428"/>
    </row>
    <row r="33" spans="1:14">
      <c r="A33" s="422"/>
      <c r="E33" s="422"/>
      <c r="F33" s="422"/>
      <c r="J33" s="156"/>
      <c r="K33" s="452"/>
      <c r="L33" s="453"/>
      <c r="M33" s="428"/>
      <c r="N33" s="428"/>
    </row>
    <row r="34" spans="1:14" ht="18">
      <c r="A34" s="431"/>
      <c r="B34" s="1511" t="str">
        <f>"Prepayments Account 165 - Balance @ 12/31/"&amp;D36&amp;""</f>
        <v>Prepayments Account 165 - Balance @ 12/31/2025</v>
      </c>
      <c r="C34" s="1516"/>
      <c r="D34" s="1516"/>
      <c r="E34" s="1516"/>
      <c r="F34" s="1516"/>
      <c r="G34" s="1516"/>
      <c r="H34" s="1516"/>
      <c r="I34" s="1516"/>
      <c r="J34" s="1516"/>
      <c r="K34" s="452"/>
      <c r="L34" s="453"/>
      <c r="M34" s="428"/>
      <c r="N34" s="428"/>
    </row>
    <row r="35" spans="1:14">
      <c r="A35" s="431"/>
      <c r="B35" s="484"/>
      <c r="C35" s="485"/>
      <c r="D35" s="468"/>
      <c r="E35" s="469"/>
      <c r="F35" s="422"/>
      <c r="G35" s="469" t="s">
        <v>378</v>
      </c>
      <c r="I35" s="470" t="s">
        <v>407</v>
      </c>
      <c r="J35" s="470" t="s">
        <v>407</v>
      </c>
      <c r="K35" s="470" t="s">
        <v>469</v>
      </c>
      <c r="L35" s="173"/>
      <c r="M35" s="428"/>
      <c r="N35" s="428"/>
    </row>
    <row r="36" spans="1:14">
      <c r="A36" s="431"/>
      <c r="B36" s="484"/>
      <c r="C36" s="486"/>
      <c r="D36" s="471" t="str">
        <f>""&amp;TCOS!L4</f>
        <v>2025</v>
      </c>
      <c r="E36" s="470" t="s">
        <v>319</v>
      </c>
      <c r="F36" s="422"/>
      <c r="G36" s="470" t="s">
        <v>407</v>
      </c>
      <c r="I36" s="470" t="s">
        <v>309</v>
      </c>
      <c r="J36" s="470" t="s">
        <v>451</v>
      </c>
      <c r="K36" s="470" t="s">
        <v>470</v>
      </c>
      <c r="L36" s="173"/>
      <c r="M36" s="428"/>
      <c r="N36" s="428"/>
    </row>
    <row r="37" spans="1:14">
      <c r="A37" s="431">
        <f>+A31+1</f>
        <v>9</v>
      </c>
      <c r="B37" s="472" t="s">
        <v>381</v>
      </c>
      <c r="C37" s="472" t="s">
        <v>457</v>
      </c>
      <c r="D37" s="472" t="s">
        <v>379</v>
      </c>
      <c r="E37" s="472" t="s">
        <v>290</v>
      </c>
      <c r="F37" s="422"/>
      <c r="G37" s="472" t="s">
        <v>310</v>
      </c>
      <c r="I37" s="472" t="s">
        <v>310</v>
      </c>
      <c r="J37" s="472" t="s">
        <v>310</v>
      </c>
      <c r="K37" s="472" t="s">
        <v>311</v>
      </c>
      <c r="L37" s="472" t="s">
        <v>363</v>
      </c>
      <c r="M37" s="428"/>
      <c r="N37" s="428"/>
    </row>
    <row r="38" spans="1:14">
      <c r="A38" s="431"/>
      <c r="B38" s="484"/>
      <c r="C38" s="485"/>
      <c r="D38" s="485"/>
      <c r="E38" s="485"/>
      <c r="F38" s="422"/>
      <c r="G38" s="485"/>
      <c r="I38" s="485"/>
      <c r="J38" s="485"/>
      <c r="K38" s="473"/>
      <c r="L38" s="173"/>
      <c r="M38" s="428"/>
      <c r="N38" s="428"/>
    </row>
    <row r="39" spans="1:14" ht="14.25">
      <c r="A39" s="431">
        <f>+A37+1</f>
        <v>10</v>
      </c>
      <c r="B39" s="1320" t="s">
        <v>913</v>
      </c>
      <c r="C39" s="1321" t="s">
        <v>914</v>
      </c>
      <c r="D39" s="1322">
        <v>0</v>
      </c>
      <c r="E39" s="487">
        <f t="shared" ref="E39:E53" si="0">+D39-K39</f>
        <v>0</v>
      </c>
      <c r="F39" s="422"/>
      <c r="G39" s="488"/>
      <c r="I39" s="488">
        <f>+D39</f>
        <v>0</v>
      </c>
      <c r="J39" s="488"/>
      <c r="K39" s="488">
        <f>+G39+I39+J39</f>
        <v>0</v>
      </c>
      <c r="L39" s="173"/>
      <c r="M39" s="428"/>
      <c r="N39" s="428"/>
    </row>
    <row r="40" spans="1:14" ht="14.25">
      <c r="A40" s="431">
        <f>+A39+1</f>
        <v>11</v>
      </c>
      <c r="B40" s="1323" t="s">
        <v>916</v>
      </c>
      <c r="C40" s="1321" t="s">
        <v>915</v>
      </c>
      <c r="D40" s="1322">
        <v>26812.43</v>
      </c>
      <c r="E40" s="487">
        <f t="shared" si="0"/>
        <v>0</v>
      </c>
      <c r="F40" s="422"/>
      <c r="G40" s="488"/>
      <c r="I40" s="488">
        <f>+D40</f>
        <v>26812.43</v>
      </c>
      <c r="J40" s="488"/>
      <c r="K40" s="488">
        <f t="shared" ref="K40:K54" si="1">+G40+I40+J40</f>
        <v>26812.43</v>
      </c>
      <c r="L40" s="173"/>
      <c r="M40" s="428"/>
      <c r="N40" s="428"/>
    </row>
    <row r="41" spans="1:14" ht="14.25">
      <c r="A41" s="431">
        <f t="shared" ref="A41:A54" si="2">+A40+1</f>
        <v>12</v>
      </c>
      <c r="B41" s="1324"/>
      <c r="C41" s="1325"/>
      <c r="D41" s="1322"/>
      <c r="E41" s="487">
        <f t="shared" si="0"/>
        <v>0</v>
      </c>
      <c r="F41" s="422"/>
      <c r="G41" s="488"/>
      <c r="I41" s="488">
        <f>+D41</f>
        <v>0</v>
      </c>
      <c r="J41" s="488"/>
      <c r="K41" s="488">
        <f t="shared" si="1"/>
        <v>0</v>
      </c>
      <c r="L41" s="173"/>
      <c r="M41" s="428"/>
      <c r="N41" s="428"/>
    </row>
    <row r="42" spans="1:14" ht="14.25">
      <c r="A42" s="431">
        <f t="shared" si="2"/>
        <v>13</v>
      </c>
      <c r="B42" s="1326"/>
      <c r="C42" s="1325"/>
      <c r="D42" s="1322"/>
      <c r="E42" s="487">
        <f t="shared" si="0"/>
        <v>0</v>
      </c>
      <c r="F42" s="422"/>
      <c r="G42" s="488"/>
      <c r="I42" s="488">
        <f t="shared" ref="I42:I49" si="3">+D42</f>
        <v>0</v>
      </c>
      <c r="J42" s="488"/>
      <c r="K42" s="488">
        <f t="shared" si="1"/>
        <v>0</v>
      </c>
      <c r="L42" s="173"/>
      <c r="M42" s="428"/>
      <c r="N42" s="428"/>
    </row>
    <row r="43" spans="1:14" ht="14.25">
      <c r="A43" s="431">
        <f t="shared" si="2"/>
        <v>14</v>
      </c>
      <c r="B43" s="1324"/>
      <c r="C43" s="1325"/>
      <c r="D43" s="1322"/>
      <c r="E43" s="487">
        <f t="shared" si="0"/>
        <v>0</v>
      </c>
      <c r="F43" s="422"/>
      <c r="G43" s="488"/>
      <c r="I43" s="488">
        <f t="shared" si="3"/>
        <v>0</v>
      </c>
      <c r="J43" s="488"/>
      <c r="K43" s="488">
        <f t="shared" si="1"/>
        <v>0</v>
      </c>
      <c r="L43" s="392"/>
      <c r="M43" s="428"/>
      <c r="N43" s="428"/>
    </row>
    <row r="44" spans="1:14" ht="14.25">
      <c r="A44" s="431">
        <f t="shared" si="2"/>
        <v>15</v>
      </c>
      <c r="B44" s="1324"/>
      <c r="C44" s="1325"/>
      <c r="D44" s="1322"/>
      <c r="E44" s="487">
        <f t="shared" si="0"/>
        <v>0</v>
      </c>
      <c r="F44" s="422"/>
      <c r="G44" s="488"/>
      <c r="I44" s="488">
        <f t="shared" si="3"/>
        <v>0</v>
      </c>
      <c r="J44" s="488"/>
      <c r="K44" s="488">
        <f t="shared" si="1"/>
        <v>0</v>
      </c>
      <c r="L44" s="392"/>
      <c r="M44" s="428"/>
      <c r="N44" s="428"/>
    </row>
    <row r="45" spans="1:14" ht="14.25">
      <c r="A45" s="431">
        <f t="shared" si="2"/>
        <v>16</v>
      </c>
      <c r="B45" s="970"/>
      <c r="C45" s="972"/>
      <c r="D45" s="997"/>
      <c r="E45" s="487">
        <f t="shared" si="0"/>
        <v>0</v>
      </c>
      <c r="F45" s="422"/>
      <c r="G45" s="489"/>
      <c r="I45" s="488">
        <f t="shared" si="3"/>
        <v>0</v>
      </c>
      <c r="J45" s="489"/>
      <c r="K45" s="489">
        <f t="shared" si="1"/>
        <v>0</v>
      </c>
      <c r="L45" s="392"/>
      <c r="M45" s="428"/>
      <c r="N45" s="428"/>
    </row>
    <row r="46" spans="1:14" ht="14.25">
      <c r="A46" s="431">
        <f t="shared" si="2"/>
        <v>17</v>
      </c>
      <c r="B46" s="970"/>
      <c r="C46" s="972"/>
      <c r="D46" s="997"/>
      <c r="E46" s="487">
        <f t="shared" si="0"/>
        <v>0</v>
      </c>
      <c r="F46" s="422"/>
      <c r="G46" s="488"/>
      <c r="I46" s="488">
        <f t="shared" si="3"/>
        <v>0</v>
      </c>
      <c r="J46" s="488"/>
      <c r="K46" s="489">
        <f t="shared" si="1"/>
        <v>0</v>
      </c>
      <c r="L46" s="348"/>
      <c r="M46" s="428"/>
      <c r="N46" s="428"/>
    </row>
    <row r="47" spans="1:14" ht="14.25">
      <c r="A47" s="431">
        <f t="shared" si="2"/>
        <v>18</v>
      </c>
      <c r="B47" s="970"/>
      <c r="C47" s="972"/>
      <c r="D47" s="997"/>
      <c r="E47" s="487">
        <f t="shared" si="0"/>
        <v>0</v>
      </c>
      <c r="F47" s="422"/>
      <c r="G47" s="488"/>
      <c r="I47" s="488">
        <f t="shared" si="3"/>
        <v>0</v>
      </c>
      <c r="J47" s="488"/>
      <c r="K47" s="489">
        <f t="shared" si="1"/>
        <v>0</v>
      </c>
      <c r="L47" s="392"/>
      <c r="M47" s="428"/>
      <c r="N47" s="428"/>
    </row>
    <row r="48" spans="1:14" ht="14.25">
      <c r="A48" s="431">
        <f t="shared" si="2"/>
        <v>19</v>
      </c>
      <c r="B48" s="970"/>
      <c r="C48" s="972"/>
      <c r="D48" s="997"/>
      <c r="E48" s="487">
        <f t="shared" si="0"/>
        <v>0</v>
      </c>
      <c r="F48" s="422"/>
      <c r="G48" s="488"/>
      <c r="I48" s="488">
        <f t="shared" si="3"/>
        <v>0</v>
      </c>
      <c r="J48" s="488"/>
      <c r="K48" s="489">
        <f t="shared" si="1"/>
        <v>0</v>
      </c>
      <c r="L48" s="392"/>
      <c r="M48" s="428"/>
      <c r="N48" s="428"/>
    </row>
    <row r="49" spans="1:15" ht="14.25">
      <c r="A49" s="431">
        <f t="shared" si="2"/>
        <v>20</v>
      </c>
      <c r="B49" s="971"/>
      <c r="C49" s="972"/>
      <c r="D49" s="997"/>
      <c r="E49" s="487">
        <f t="shared" si="0"/>
        <v>0</v>
      </c>
      <c r="F49" s="422"/>
      <c r="G49" s="488"/>
      <c r="I49" s="488">
        <f t="shared" si="3"/>
        <v>0</v>
      </c>
      <c r="J49" s="490"/>
      <c r="K49" s="489">
        <f>+G49+I49+J49</f>
        <v>0</v>
      </c>
      <c r="L49" s="173"/>
      <c r="M49" s="428"/>
      <c r="N49" s="428"/>
    </row>
    <row r="50" spans="1:15" ht="14.25">
      <c r="A50" s="431">
        <f t="shared" si="2"/>
        <v>21</v>
      </c>
      <c r="B50" s="971"/>
      <c r="C50" s="972"/>
      <c r="D50" s="997"/>
      <c r="E50" s="487">
        <f t="shared" si="0"/>
        <v>0</v>
      </c>
      <c r="F50" s="422"/>
      <c r="G50" s="488"/>
      <c r="I50" s="488">
        <f>D50</f>
        <v>0</v>
      </c>
      <c r="J50" s="490">
        <v>0</v>
      </c>
      <c r="K50" s="489">
        <f>+G50+I50+J50</f>
        <v>0</v>
      </c>
      <c r="L50" s="173"/>
      <c r="M50" s="428"/>
      <c r="N50" s="428"/>
    </row>
    <row r="51" spans="1:15" ht="14.25">
      <c r="A51" s="431">
        <f t="shared" si="2"/>
        <v>22</v>
      </c>
      <c r="B51" s="971"/>
      <c r="C51" s="972"/>
      <c r="D51" s="997"/>
      <c r="E51" s="487">
        <f t="shared" si="0"/>
        <v>0</v>
      </c>
      <c r="F51" s="422"/>
      <c r="G51" s="488"/>
      <c r="I51" s="488"/>
      <c r="J51" s="490">
        <f>D51</f>
        <v>0</v>
      </c>
      <c r="K51" s="489">
        <f>+G51+I51+J51</f>
        <v>0</v>
      </c>
      <c r="L51" s="392"/>
      <c r="M51" s="428"/>
      <c r="N51" s="428"/>
    </row>
    <row r="52" spans="1:15" ht="14.25">
      <c r="A52" s="431">
        <f t="shared" si="2"/>
        <v>23</v>
      </c>
      <c r="B52" s="971"/>
      <c r="C52" s="972"/>
      <c r="D52" s="997"/>
      <c r="E52" s="487">
        <f t="shared" si="0"/>
        <v>0</v>
      </c>
      <c r="F52" s="422"/>
      <c r="G52" s="488"/>
      <c r="I52" s="488"/>
      <c r="J52" s="490">
        <f>D52</f>
        <v>0</v>
      </c>
      <c r="K52" s="489">
        <f>+G52+I52+J52</f>
        <v>0</v>
      </c>
      <c r="L52" s="392"/>
      <c r="M52" s="428"/>
      <c r="N52" s="428"/>
    </row>
    <row r="53" spans="1:15" ht="14.25">
      <c r="A53" s="431">
        <f t="shared" si="2"/>
        <v>24</v>
      </c>
      <c r="B53" s="971"/>
      <c r="C53" s="972"/>
      <c r="D53" s="997"/>
      <c r="E53" s="487">
        <f t="shared" si="0"/>
        <v>0</v>
      </c>
      <c r="F53" s="422"/>
      <c r="G53" s="488"/>
      <c r="I53" s="488"/>
      <c r="J53" s="490">
        <f>D53</f>
        <v>0</v>
      </c>
      <c r="K53" s="489">
        <f t="shared" si="1"/>
        <v>0</v>
      </c>
      <c r="L53" s="392"/>
      <c r="M53" s="428"/>
      <c r="N53" s="428"/>
    </row>
    <row r="54" spans="1:15" ht="15" thickBot="1">
      <c r="A54" s="431">
        <f t="shared" si="2"/>
        <v>25</v>
      </c>
      <c r="B54" s="971"/>
      <c r="C54" s="972"/>
      <c r="D54" s="997"/>
      <c r="E54" s="487"/>
      <c r="F54" s="422"/>
      <c r="G54" s="488"/>
      <c r="I54" s="488"/>
      <c r="J54" s="488">
        <f>D54</f>
        <v>0</v>
      </c>
      <c r="K54" s="489">
        <f t="shared" si="1"/>
        <v>0</v>
      </c>
      <c r="L54" s="392"/>
      <c r="M54" s="428"/>
      <c r="N54" s="428"/>
    </row>
    <row r="55" spans="1:15">
      <c r="A55" s="431"/>
      <c r="B55" s="484"/>
      <c r="C55" s="491" t="s">
        <v>291</v>
      </c>
      <c r="D55" s="492">
        <f>SUM(D39:D54)</f>
        <v>26812.43</v>
      </c>
      <c r="E55" s="493">
        <f>SUM(E39:E54)</f>
        <v>0</v>
      </c>
      <c r="F55" s="422"/>
      <c r="G55" s="492">
        <f>SUM(G39:G54)</f>
        <v>0</v>
      </c>
      <c r="I55" s="492">
        <f>SUM(I39:I54)</f>
        <v>26812.43</v>
      </c>
      <c r="J55" s="492">
        <f>SUM(J39:J54)</f>
        <v>0</v>
      </c>
      <c r="K55" s="492">
        <f>SUM(K39:K54)</f>
        <v>26812.43</v>
      </c>
      <c r="L55" s="173"/>
      <c r="M55" s="428"/>
      <c r="N55" s="428"/>
    </row>
    <row r="56" spans="1:15">
      <c r="A56" s="431"/>
      <c r="D56" s="494" t="s">
        <v>406</v>
      </c>
      <c r="K56" s="495"/>
      <c r="L56" s="173"/>
      <c r="M56" s="428"/>
      <c r="N56" s="428"/>
    </row>
    <row r="57" spans="1:15">
      <c r="A57" s="431"/>
      <c r="B57" s="173"/>
      <c r="C57" s="173"/>
      <c r="D57" s="173"/>
      <c r="E57" s="173"/>
      <c r="F57" s="173"/>
      <c r="G57" s="173"/>
      <c r="H57" s="173"/>
      <c r="I57" s="173"/>
      <c r="J57" s="173"/>
      <c r="K57" s="173"/>
      <c r="L57" s="173"/>
      <c r="M57" s="428"/>
      <c r="N57" s="428"/>
      <c r="O57" s="173"/>
    </row>
    <row r="58" spans="1:15" ht="18">
      <c r="A58" s="431"/>
      <c r="B58" s="1511" t="str">
        <f>"Prepayments Account 165 - Balance @ 12/31/ "&amp;D60&amp;""</f>
        <v>Prepayments Account 165 - Balance @ 12/31/ 2024</v>
      </c>
      <c r="C58" s="1511"/>
      <c r="D58" s="1511"/>
      <c r="E58" s="1511"/>
      <c r="F58" s="1511"/>
      <c r="G58" s="1511"/>
      <c r="H58" s="1511"/>
      <c r="I58" s="1511"/>
      <c r="J58" s="1511"/>
      <c r="K58" s="452"/>
      <c r="L58" s="453"/>
      <c r="M58" s="428"/>
      <c r="N58" s="428"/>
      <c r="O58" s="173"/>
    </row>
    <row r="59" spans="1:15">
      <c r="A59" s="431"/>
      <c r="B59" s="496"/>
      <c r="C59" s="497"/>
      <c r="D59" s="498"/>
      <c r="E59" s="469"/>
      <c r="F59" s="422"/>
      <c r="G59" s="469" t="s">
        <v>378</v>
      </c>
      <c r="I59" s="470" t="s">
        <v>407</v>
      </c>
      <c r="J59" s="470" t="s">
        <v>407</v>
      </c>
      <c r="K59" s="470" t="s">
        <v>469</v>
      </c>
      <c r="L59" s="173"/>
      <c r="M59" s="428"/>
      <c r="N59" s="428"/>
      <c r="O59" s="173"/>
    </row>
    <row r="60" spans="1:15">
      <c r="A60" s="431"/>
      <c r="B60" s="496"/>
      <c r="C60" s="499"/>
      <c r="D60" s="470" t="str">
        <f>""&amp;TCOS!L4-1&amp;""</f>
        <v>2024</v>
      </c>
      <c r="E60" s="470" t="s">
        <v>319</v>
      </c>
      <c r="F60" s="422"/>
      <c r="G60" s="470" t="s">
        <v>407</v>
      </c>
      <c r="I60" s="470" t="s">
        <v>309</v>
      </c>
      <c r="J60" s="470" t="s">
        <v>451</v>
      </c>
      <c r="K60" s="470" t="s">
        <v>470</v>
      </c>
      <c r="L60" s="173"/>
      <c r="M60" s="428"/>
      <c r="N60" s="428"/>
      <c r="O60" s="173"/>
    </row>
    <row r="61" spans="1:15">
      <c r="A61" s="431">
        <f>A54+1</f>
        <v>26</v>
      </c>
      <c r="B61" s="472" t="s">
        <v>381</v>
      </c>
      <c r="C61" s="472" t="s">
        <v>457</v>
      </c>
      <c r="D61" s="472" t="s">
        <v>379</v>
      </c>
      <c r="E61" s="472" t="s">
        <v>290</v>
      </c>
      <c r="F61" s="422"/>
      <c r="G61" s="472" t="s">
        <v>310</v>
      </c>
      <c r="I61" s="472" t="s">
        <v>310</v>
      </c>
      <c r="J61" s="472" t="s">
        <v>310</v>
      </c>
      <c r="K61" s="472" t="s">
        <v>311</v>
      </c>
      <c r="L61" s="472" t="s">
        <v>363</v>
      </c>
      <c r="M61" s="428"/>
      <c r="N61" s="428"/>
      <c r="O61" s="173"/>
    </row>
    <row r="62" spans="1:15">
      <c r="A62" s="431"/>
      <c r="B62" s="484"/>
      <c r="C62" s="485"/>
      <c r="D62" s="485"/>
      <c r="E62" s="485"/>
      <c r="F62" s="422"/>
      <c r="G62" s="485"/>
      <c r="I62" s="485"/>
      <c r="J62" s="485"/>
      <c r="K62" s="485"/>
      <c r="L62" s="173"/>
      <c r="M62" s="428"/>
      <c r="N62" s="428"/>
      <c r="O62" s="173"/>
    </row>
    <row r="63" spans="1:15" ht="14.25">
      <c r="A63" s="431">
        <f>+A61+1</f>
        <v>27</v>
      </c>
      <c r="B63" s="1320" t="s">
        <v>913</v>
      </c>
      <c r="C63" s="1321" t="s">
        <v>914</v>
      </c>
      <c r="D63" s="1322">
        <v>0</v>
      </c>
      <c r="E63" s="173"/>
      <c r="F63" s="173"/>
      <c r="G63" s="173"/>
      <c r="H63" s="173"/>
      <c r="I63" s="500">
        <f>+D63</f>
        <v>0</v>
      </c>
      <c r="J63" s="173"/>
      <c r="K63" s="488">
        <f t="shared" ref="K63:K78" si="4">+G63+I63+J63</f>
        <v>0</v>
      </c>
      <c r="L63" s="173"/>
      <c r="M63" s="428"/>
      <c r="N63" s="428"/>
      <c r="O63" s="173"/>
    </row>
    <row r="64" spans="1:15" ht="14.25">
      <c r="A64" s="431">
        <f>+A63+1</f>
        <v>28</v>
      </c>
      <c r="B64" s="1323" t="s">
        <v>916</v>
      </c>
      <c r="C64" s="1321" t="s">
        <v>915</v>
      </c>
      <c r="D64" s="1322">
        <v>26812.43</v>
      </c>
      <c r="E64" s="487">
        <f>+D64-K64</f>
        <v>0</v>
      </c>
      <c r="F64" s="422"/>
      <c r="G64" s="488"/>
      <c r="I64" s="488">
        <f>+D64</f>
        <v>26812.43</v>
      </c>
      <c r="J64" s="488"/>
      <c r="K64" s="488">
        <f t="shared" si="4"/>
        <v>26812.43</v>
      </c>
      <c r="L64" s="173"/>
      <c r="M64" s="428"/>
      <c r="N64" s="428"/>
      <c r="O64" s="173"/>
    </row>
    <row r="65" spans="1:15" ht="14.25">
      <c r="A65" s="431">
        <f t="shared" ref="A65:A78" si="5">+A64+1</f>
        <v>29</v>
      </c>
      <c r="B65" s="1324"/>
      <c r="C65" s="1325"/>
      <c r="D65" s="1322"/>
      <c r="E65" s="487">
        <f>+D65-K65</f>
        <v>0</v>
      </c>
      <c r="F65" s="422"/>
      <c r="G65" s="488"/>
      <c r="I65" s="488">
        <f>+D65</f>
        <v>0</v>
      </c>
      <c r="J65" s="488"/>
      <c r="K65" s="488">
        <f t="shared" si="4"/>
        <v>0</v>
      </c>
      <c r="L65" s="173"/>
      <c r="M65" s="428"/>
      <c r="N65" s="428"/>
      <c r="O65" s="173"/>
    </row>
    <row r="66" spans="1:15" ht="14.25">
      <c r="A66" s="431">
        <f t="shared" si="5"/>
        <v>30</v>
      </c>
      <c r="B66" s="1326"/>
      <c r="C66" s="1325"/>
      <c r="D66" s="1322"/>
      <c r="E66" s="487">
        <f>+D66-K66</f>
        <v>0</v>
      </c>
      <c r="F66" s="422"/>
      <c r="G66" s="488"/>
      <c r="I66" s="488"/>
      <c r="J66" s="488"/>
      <c r="K66" s="488">
        <f t="shared" si="4"/>
        <v>0</v>
      </c>
      <c r="L66" s="173"/>
      <c r="M66" s="428"/>
      <c r="N66" s="428"/>
      <c r="O66" s="173"/>
    </row>
    <row r="67" spans="1:15" ht="14.25">
      <c r="A67" s="431">
        <f t="shared" si="5"/>
        <v>31</v>
      </c>
      <c r="B67" s="1324"/>
      <c r="C67" s="1325"/>
      <c r="D67" s="1322"/>
      <c r="E67" s="487">
        <f>+D67-K67</f>
        <v>0</v>
      </c>
      <c r="F67" s="422"/>
      <c r="G67" s="488"/>
      <c r="I67" s="488"/>
      <c r="J67" s="488"/>
      <c r="K67" s="488">
        <f t="shared" si="4"/>
        <v>0</v>
      </c>
      <c r="L67" s="392"/>
      <c r="M67" s="428"/>
      <c r="N67" s="428"/>
      <c r="O67" s="173"/>
    </row>
    <row r="68" spans="1:15" ht="14.25">
      <c r="A68" s="431">
        <f t="shared" si="5"/>
        <v>32</v>
      </c>
      <c r="B68" s="1324"/>
      <c r="C68" s="1325"/>
      <c r="D68" s="1322"/>
      <c r="E68" s="488">
        <f>+D68-K68</f>
        <v>0</v>
      </c>
      <c r="F68" s="422"/>
      <c r="G68" s="488"/>
      <c r="I68" s="488"/>
      <c r="J68" s="488"/>
      <c r="K68" s="488">
        <f t="shared" si="4"/>
        <v>0</v>
      </c>
      <c r="L68" s="392"/>
      <c r="M68" s="428"/>
      <c r="N68" s="428"/>
      <c r="O68" s="173"/>
    </row>
    <row r="69" spans="1:15" ht="14.25">
      <c r="A69" s="431">
        <f t="shared" si="5"/>
        <v>33</v>
      </c>
      <c r="B69" s="971"/>
      <c r="C69" s="972"/>
      <c r="D69" s="997"/>
      <c r="E69" s="489">
        <f>+D69</f>
        <v>0</v>
      </c>
      <c r="F69" s="422"/>
      <c r="G69" s="489"/>
      <c r="I69" s="489"/>
      <c r="J69" s="489"/>
      <c r="K69" s="489">
        <f t="shared" si="4"/>
        <v>0</v>
      </c>
      <c r="L69" s="392"/>
      <c r="M69" s="428"/>
      <c r="N69" s="428"/>
      <c r="O69" s="173"/>
    </row>
    <row r="70" spans="1:15" ht="14.25">
      <c r="A70" s="431">
        <f t="shared" si="5"/>
        <v>34</v>
      </c>
      <c r="B70" s="971"/>
      <c r="C70" s="972"/>
      <c r="D70" s="997"/>
      <c r="E70" s="488">
        <f>+D70-K70</f>
        <v>0</v>
      </c>
      <c r="F70" s="422"/>
      <c r="G70" s="488"/>
      <c r="I70" s="488"/>
      <c r="J70" s="488"/>
      <c r="K70" s="489">
        <f t="shared" si="4"/>
        <v>0</v>
      </c>
      <c r="L70" s="348"/>
      <c r="M70" s="428"/>
      <c r="N70" s="428"/>
      <c r="O70" s="173"/>
    </row>
    <row r="71" spans="1:15" ht="14.25">
      <c r="A71" s="431">
        <f t="shared" si="5"/>
        <v>35</v>
      </c>
      <c r="B71" s="971"/>
      <c r="C71" s="972"/>
      <c r="D71" s="997"/>
      <c r="E71" s="488"/>
      <c r="F71" s="422"/>
      <c r="G71" s="488"/>
      <c r="I71" s="488"/>
      <c r="J71" s="488"/>
      <c r="K71" s="489">
        <f t="shared" si="4"/>
        <v>0</v>
      </c>
      <c r="L71" s="392"/>
      <c r="M71" s="428"/>
      <c r="N71" s="428"/>
      <c r="O71" s="173"/>
    </row>
    <row r="72" spans="1:15" ht="14.25">
      <c r="A72" s="431">
        <f>+A69+1</f>
        <v>34</v>
      </c>
      <c r="B72" s="971"/>
      <c r="C72" s="972"/>
      <c r="D72" s="997"/>
      <c r="E72" s="488">
        <f>+D72</f>
        <v>0</v>
      </c>
      <c r="F72" s="422"/>
      <c r="G72" s="488"/>
      <c r="I72" s="488"/>
      <c r="J72" s="488"/>
      <c r="K72" s="489">
        <f>+G72+I72+J72</f>
        <v>0</v>
      </c>
      <c r="L72" s="392"/>
      <c r="M72" s="428"/>
      <c r="N72" s="428"/>
      <c r="O72" s="173"/>
    </row>
    <row r="73" spans="1:15" ht="14.25">
      <c r="A73" s="431">
        <f t="shared" si="5"/>
        <v>35</v>
      </c>
      <c r="B73" s="971"/>
      <c r="C73" s="972"/>
      <c r="D73" s="997"/>
      <c r="E73" s="488">
        <v>0</v>
      </c>
      <c r="F73" s="422"/>
      <c r="G73" s="488"/>
      <c r="I73" s="488">
        <f>D73</f>
        <v>0</v>
      </c>
      <c r="J73" s="490"/>
      <c r="K73" s="489">
        <f>+G73+I73+J73</f>
        <v>0</v>
      </c>
      <c r="L73" s="173"/>
      <c r="M73" s="428"/>
      <c r="N73" s="428"/>
      <c r="O73" s="173"/>
    </row>
    <row r="74" spans="1:15" ht="14.25">
      <c r="A74" s="431">
        <f t="shared" si="5"/>
        <v>36</v>
      </c>
      <c r="B74" s="971"/>
      <c r="C74" s="972"/>
      <c r="D74" s="997"/>
      <c r="E74" s="487">
        <v>0</v>
      </c>
      <c r="F74" s="422"/>
      <c r="G74" s="488"/>
      <c r="I74" s="488">
        <f>D74</f>
        <v>0</v>
      </c>
      <c r="J74" s="490">
        <v>0</v>
      </c>
      <c r="K74" s="489">
        <f>+G74+I74+J74</f>
        <v>0</v>
      </c>
      <c r="L74" s="173"/>
      <c r="M74" s="428"/>
      <c r="N74" s="428"/>
      <c r="O74" s="173"/>
    </row>
    <row r="75" spans="1:15" ht="14.25">
      <c r="A75" s="431">
        <f t="shared" si="5"/>
        <v>37</v>
      </c>
      <c r="B75" s="971"/>
      <c r="C75" s="972"/>
      <c r="D75" s="997"/>
      <c r="E75" s="487">
        <f>+D75-K75</f>
        <v>0</v>
      </c>
      <c r="F75" s="422"/>
      <c r="G75" s="488"/>
      <c r="I75" s="488"/>
      <c r="J75" s="490">
        <f>D75</f>
        <v>0</v>
      </c>
      <c r="K75" s="489">
        <f>+G75+I75+J75</f>
        <v>0</v>
      </c>
      <c r="L75" s="392"/>
      <c r="M75" s="428"/>
      <c r="N75" s="428"/>
      <c r="O75" s="173"/>
    </row>
    <row r="76" spans="1:15" ht="14.25">
      <c r="A76" s="431">
        <f t="shared" si="5"/>
        <v>38</v>
      </c>
      <c r="B76" s="971"/>
      <c r="C76" s="972"/>
      <c r="D76" s="997"/>
      <c r="E76" s="487">
        <f>+D76-K76</f>
        <v>0</v>
      </c>
      <c r="F76" s="422"/>
      <c r="G76" s="488"/>
      <c r="I76" s="488"/>
      <c r="J76" s="490">
        <f>D76</f>
        <v>0</v>
      </c>
      <c r="K76" s="489">
        <f t="shared" si="4"/>
        <v>0</v>
      </c>
      <c r="L76" s="392"/>
      <c r="M76" s="428"/>
      <c r="N76" s="428"/>
      <c r="O76" s="173"/>
    </row>
    <row r="77" spans="1:15" ht="14.25">
      <c r="A77" s="431">
        <f t="shared" si="5"/>
        <v>39</v>
      </c>
      <c r="B77" s="971"/>
      <c r="C77" s="972"/>
      <c r="D77" s="997"/>
      <c r="E77" s="487">
        <f>+D77-K77</f>
        <v>0</v>
      </c>
      <c r="F77" s="422"/>
      <c r="G77" s="488"/>
      <c r="I77" s="488"/>
      <c r="J77" s="490">
        <f>D77</f>
        <v>0</v>
      </c>
      <c r="K77" s="489">
        <f t="shared" si="4"/>
        <v>0</v>
      </c>
      <c r="L77" s="392"/>
      <c r="M77" s="428"/>
      <c r="N77" s="428"/>
      <c r="O77" s="173"/>
    </row>
    <row r="78" spans="1:15" ht="15" thickBot="1">
      <c r="A78" s="431">
        <f t="shared" si="5"/>
        <v>40</v>
      </c>
      <c r="B78" s="971"/>
      <c r="C78" s="972"/>
      <c r="D78" s="997"/>
      <c r="E78" s="487"/>
      <c r="F78" s="422"/>
      <c r="G78" s="488"/>
      <c r="I78" s="488"/>
      <c r="J78" s="488">
        <f>D78</f>
        <v>0</v>
      </c>
      <c r="K78" s="489">
        <f t="shared" si="4"/>
        <v>0</v>
      </c>
      <c r="L78" s="392"/>
      <c r="M78" s="428"/>
      <c r="N78" s="428"/>
      <c r="O78" s="173"/>
    </row>
    <row r="79" spans="1:15">
      <c r="A79" s="431"/>
      <c r="B79" s="484"/>
      <c r="C79" s="1246" t="s">
        <v>622</v>
      </c>
      <c r="D79" s="492">
        <f>SUM(D63:D78)</f>
        <v>26812.43</v>
      </c>
      <c r="E79" s="493">
        <f>SUM(E63:E78)</f>
        <v>0</v>
      </c>
      <c r="F79" s="422"/>
      <c r="G79" s="492">
        <f>SUM(G63:G78)</f>
        <v>0</v>
      </c>
      <c r="I79" s="492">
        <f>SUM(I63:I78)</f>
        <v>26812.43</v>
      </c>
      <c r="J79" s="492">
        <f>SUM(J63:J78)</f>
        <v>0</v>
      </c>
      <c r="K79" s="492">
        <f>SUM(K63:K78)</f>
        <v>26812.43</v>
      </c>
      <c r="L79" s="173"/>
      <c r="M79" s="428"/>
      <c r="N79" s="428"/>
      <c r="O79" s="173"/>
    </row>
    <row r="80" spans="1:15">
      <c r="A80" s="431"/>
      <c r="B80" s="431"/>
      <c r="C80" s="173"/>
      <c r="D80" s="173"/>
      <c r="E80" s="173"/>
      <c r="F80" s="173"/>
      <c r="G80" s="173"/>
      <c r="H80" s="173"/>
      <c r="I80" s="173"/>
      <c r="J80" s="173"/>
      <c r="K80" s="173"/>
      <c r="L80" s="173"/>
      <c r="M80" s="428"/>
      <c r="N80" s="428"/>
      <c r="O80" s="173"/>
    </row>
    <row r="81" spans="1:15" ht="20.25" customHeight="1">
      <c r="A81" s="1128" t="s">
        <v>691</v>
      </c>
      <c r="B81" s="1507" t="s">
        <v>776</v>
      </c>
      <c r="C81" s="1507"/>
      <c r="D81" s="1507"/>
      <c r="E81" s="1507"/>
      <c r="F81" s="1507"/>
      <c r="G81" s="1507"/>
      <c r="H81" s="1507"/>
      <c r="I81" s="1507"/>
      <c r="J81" s="1507"/>
      <c r="K81" s="1507"/>
      <c r="L81" s="1507"/>
      <c r="M81" s="428"/>
      <c r="N81" s="428"/>
      <c r="O81" s="173"/>
    </row>
    <row r="82" spans="1:15" ht="20.25" customHeight="1">
      <c r="A82" s="1247"/>
      <c r="B82" s="1507"/>
      <c r="C82" s="1507"/>
      <c r="D82" s="1507"/>
      <c r="E82" s="1507"/>
      <c r="F82" s="1507"/>
      <c r="G82" s="1507"/>
      <c r="H82" s="1507"/>
      <c r="I82" s="1507"/>
      <c r="J82" s="1507"/>
      <c r="K82" s="1507"/>
      <c r="L82" s="1507"/>
      <c r="M82" s="173"/>
      <c r="N82" s="173"/>
      <c r="O82" s="173"/>
    </row>
    <row r="83" spans="1:15">
      <c r="A83" s="173"/>
      <c r="B83" s="173"/>
      <c r="C83" s="173"/>
      <c r="D83" s="173"/>
      <c r="E83" s="173"/>
      <c r="F83" s="173"/>
      <c r="G83" s="173"/>
      <c r="H83" s="173"/>
      <c r="I83" s="173"/>
      <c r="J83" s="173"/>
      <c r="K83" s="173"/>
      <c r="L83" s="173"/>
      <c r="M83" s="173"/>
      <c r="N83" s="173"/>
      <c r="O83" s="173"/>
    </row>
    <row r="84" spans="1:15">
      <c r="A84" s="173"/>
      <c r="B84" s="173"/>
      <c r="C84" s="173"/>
      <c r="D84" s="173"/>
      <c r="E84" s="173"/>
      <c r="F84" s="173"/>
      <c r="G84" s="173"/>
      <c r="H84" s="173"/>
      <c r="I84" s="173"/>
      <c r="J84" s="173"/>
      <c r="K84" s="173"/>
      <c r="L84" s="173"/>
      <c r="M84" s="173"/>
      <c r="N84" s="173"/>
      <c r="O84" s="173"/>
    </row>
    <row r="85" spans="1:15">
      <c r="A85" s="173"/>
      <c r="B85" s="173"/>
      <c r="C85" s="173"/>
      <c r="D85" s="173"/>
      <c r="E85" s="173"/>
      <c r="F85" s="173"/>
      <c r="G85" s="173"/>
      <c r="H85" s="173"/>
      <c r="I85" s="173"/>
      <c r="J85" s="173"/>
      <c r="K85" s="173"/>
      <c r="L85" s="173"/>
      <c r="M85" s="173"/>
      <c r="N85" s="173"/>
      <c r="O85" s="173"/>
    </row>
    <row r="86" spans="1:15">
      <c r="A86" s="173"/>
      <c r="B86" s="173"/>
      <c r="C86" s="173"/>
      <c r="D86" s="173"/>
      <c r="E86" s="173"/>
      <c r="F86" s="173"/>
      <c r="G86" s="173"/>
      <c r="H86" s="173"/>
      <c r="I86" s="173"/>
      <c r="J86" s="173"/>
      <c r="K86" s="173"/>
      <c r="L86" s="173"/>
      <c r="M86" s="173"/>
      <c r="N86" s="173"/>
      <c r="O86" s="173"/>
    </row>
    <row r="87" spans="1:15">
      <c r="A87" s="173"/>
      <c r="B87" s="173"/>
      <c r="C87" s="173"/>
      <c r="D87" s="173"/>
      <c r="E87" s="173"/>
      <c r="F87" s="173"/>
      <c r="G87" s="173"/>
      <c r="H87" s="173"/>
      <c r="I87" s="173"/>
      <c r="J87" s="173"/>
      <c r="K87" s="173"/>
      <c r="L87" s="173"/>
      <c r="M87" s="173"/>
      <c r="N87" s="173"/>
      <c r="O87" s="173"/>
    </row>
    <row r="88" spans="1:15">
      <c r="A88" s="173"/>
      <c r="B88" s="173"/>
      <c r="C88" s="173"/>
      <c r="D88" s="173"/>
      <c r="E88" s="173"/>
      <c r="F88" s="173"/>
      <c r="G88" s="173"/>
      <c r="H88" s="173"/>
      <c r="I88" s="173"/>
      <c r="J88" s="173"/>
      <c r="K88" s="173"/>
      <c r="L88" s="173"/>
      <c r="M88" s="173"/>
      <c r="N88" s="173"/>
      <c r="O88" s="173"/>
    </row>
    <row r="89" spans="1:15">
      <c r="A89" s="173"/>
      <c r="B89" s="173"/>
      <c r="C89" s="173"/>
      <c r="D89" s="173"/>
      <c r="E89" s="173"/>
      <c r="F89" s="173"/>
      <c r="G89" s="173"/>
      <c r="H89" s="173"/>
      <c r="I89" s="173"/>
      <c r="J89" s="173"/>
      <c r="K89" s="173"/>
      <c r="L89" s="173"/>
      <c r="M89" s="173"/>
      <c r="N89" s="173"/>
      <c r="O89" s="173"/>
    </row>
    <row r="90" spans="1:15">
      <c r="A90" s="173"/>
      <c r="B90" s="173"/>
      <c r="C90" s="173"/>
      <c r="D90" s="173"/>
      <c r="E90" s="173"/>
      <c r="F90" s="173"/>
      <c r="G90" s="173"/>
      <c r="H90" s="173"/>
      <c r="I90" s="173"/>
      <c r="J90" s="173"/>
      <c r="K90" s="173"/>
      <c r="L90" s="173"/>
      <c r="M90" s="173"/>
      <c r="N90" s="173"/>
      <c r="O90" s="173"/>
    </row>
    <row r="91" spans="1:15">
      <c r="A91" s="173"/>
      <c r="B91" s="173"/>
      <c r="C91" s="173"/>
      <c r="D91" s="173"/>
      <c r="E91" s="173"/>
      <c r="F91" s="173"/>
      <c r="G91" s="173"/>
      <c r="H91" s="173"/>
      <c r="I91" s="173"/>
      <c r="J91" s="173"/>
      <c r="K91" s="173"/>
      <c r="L91" s="173"/>
      <c r="M91" s="173"/>
      <c r="N91" s="173"/>
      <c r="O91" s="173"/>
    </row>
    <row r="92" spans="1:15">
      <c r="A92" s="173"/>
      <c r="B92" s="173"/>
      <c r="C92" s="173"/>
      <c r="D92" s="173"/>
      <c r="E92" s="173"/>
      <c r="F92" s="173"/>
      <c r="G92" s="173"/>
      <c r="H92" s="173"/>
      <c r="I92" s="173"/>
      <c r="J92" s="173"/>
      <c r="K92" s="173"/>
      <c r="L92" s="173"/>
      <c r="M92" s="173"/>
      <c r="N92" s="173"/>
      <c r="O92" s="173"/>
    </row>
    <row r="93" spans="1:15">
      <c r="A93" s="173"/>
      <c r="B93" s="173"/>
      <c r="C93" s="173"/>
      <c r="D93" s="173"/>
      <c r="E93" s="173"/>
      <c r="F93" s="173"/>
      <c r="G93" s="173"/>
      <c r="H93" s="173"/>
      <c r="I93" s="173"/>
      <c r="J93" s="173"/>
      <c r="K93" s="173"/>
      <c r="L93" s="173"/>
      <c r="M93" s="173"/>
      <c r="N93" s="173"/>
      <c r="O93" s="173"/>
    </row>
    <row r="94" spans="1:15">
      <c r="A94" s="173"/>
      <c r="B94" s="173"/>
      <c r="C94" s="173"/>
      <c r="D94" s="173"/>
      <c r="E94" s="173"/>
      <c r="F94" s="173"/>
      <c r="G94" s="173"/>
      <c r="H94" s="173"/>
      <c r="I94" s="173"/>
      <c r="J94" s="173"/>
      <c r="K94" s="173"/>
      <c r="L94" s="173"/>
      <c r="M94" s="173"/>
      <c r="N94" s="173"/>
      <c r="O94" s="173"/>
    </row>
    <row r="95" spans="1:15">
      <c r="A95" s="173"/>
      <c r="B95" s="173"/>
      <c r="C95" s="173"/>
      <c r="D95" s="173"/>
      <c r="E95" s="173"/>
      <c r="F95" s="173"/>
      <c r="G95" s="173"/>
      <c r="H95" s="173"/>
      <c r="I95" s="173"/>
      <c r="J95" s="173"/>
      <c r="K95" s="173"/>
      <c r="L95" s="173"/>
      <c r="M95" s="173"/>
      <c r="N95" s="173"/>
      <c r="O95" s="173"/>
    </row>
    <row r="96" spans="1:15">
      <c r="A96" s="173"/>
      <c r="B96" s="173"/>
      <c r="C96" s="173"/>
      <c r="D96" s="173"/>
      <c r="E96" s="173"/>
      <c r="F96" s="173"/>
      <c r="G96" s="173"/>
      <c r="H96" s="173"/>
      <c r="I96" s="173"/>
      <c r="J96" s="173"/>
      <c r="K96" s="173"/>
      <c r="L96" s="173"/>
      <c r="M96" s="173"/>
      <c r="N96" s="173"/>
      <c r="O96" s="173"/>
    </row>
    <row r="97" spans="1:15">
      <c r="A97" s="173"/>
      <c r="B97" s="173"/>
      <c r="C97" s="173"/>
      <c r="D97" s="173"/>
      <c r="E97" s="173"/>
      <c r="F97" s="173"/>
      <c r="G97" s="173"/>
      <c r="H97" s="173"/>
      <c r="I97" s="173"/>
      <c r="J97" s="173"/>
      <c r="K97" s="173"/>
      <c r="L97" s="173"/>
      <c r="M97" s="173"/>
      <c r="N97" s="173"/>
      <c r="O97" s="173"/>
    </row>
    <row r="98" spans="1:15">
      <c r="A98" s="173"/>
      <c r="B98" s="173"/>
      <c r="C98" s="173"/>
      <c r="D98" s="173"/>
      <c r="E98" s="173"/>
      <c r="F98" s="173"/>
      <c r="G98" s="173"/>
      <c r="H98" s="173"/>
      <c r="I98" s="173"/>
      <c r="J98" s="173"/>
      <c r="K98" s="173"/>
      <c r="L98" s="173"/>
      <c r="M98" s="173"/>
      <c r="N98" s="173"/>
      <c r="O98" s="173"/>
    </row>
    <row r="99" spans="1:15">
      <c r="A99" s="173"/>
      <c r="B99" s="173"/>
      <c r="C99" s="173"/>
      <c r="D99" s="173"/>
      <c r="E99" s="173"/>
      <c r="F99" s="173"/>
      <c r="G99" s="173"/>
      <c r="H99" s="173"/>
      <c r="I99" s="173"/>
      <c r="J99" s="173"/>
      <c r="K99" s="173"/>
      <c r="L99" s="173"/>
      <c r="M99" s="173"/>
      <c r="N99" s="173"/>
      <c r="O99" s="173"/>
    </row>
    <row r="100" spans="1:15">
      <c r="A100" s="173"/>
      <c r="B100" s="173"/>
      <c r="C100" s="173"/>
      <c r="D100" s="173"/>
      <c r="E100" s="173"/>
      <c r="F100" s="173"/>
      <c r="G100" s="173"/>
      <c r="H100" s="173"/>
      <c r="I100" s="173"/>
      <c r="J100" s="173"/>
      <c r="K100" s="173"/>
      <c r="L100" s="173"/>
      <c r="M100" s="173"/>
      <c r="N100" s="173"/>
      <c r="O100" s="173"/>
    </row>
    <row r="101" spans="1:15">
      <c r="A101" s="173"/>
      <c r="B101" s="173"/>
      <c r="C101" s="173"/>
      <c r="D101" s="173"/>
      <c r="E101" s="173"/>
      <c r="F101" s="173"/>
      <c r="G101" s="173"/>
      <c r="H101" s="173"/>
      <c r="I101" s="173"/>
      <c r="J101" s="173"/>
      <c r="K101" s="173"/>
      <c r="L101" s="173"/>
      <c r="M101" s="173"/>
      <c r="N101" s="173"/>
      <c r="O101" s="173"/>
    </row>
    <row r="102" spans="1:15">
      <c r="A102" s="173"/>
      <c r="B102" s="173"/>
      <c r="C102" s="173"/>
      <c r="D102" s="173"/>
      <c r="E102" s="173"/>
      <c r="F102" s="173"/>
      <c r="G102" s="173"/>
      <c r="H102" s="173"/>
      <c r="I102" s="173"/>
      <c r="J102" s="173"/>
      <c r="K102" s="173"/>
      <c r="L102" s="173"/>
      <c r="M102" s="173"/>
      <c r="N102" s="173"/>
      <c r="O102" s="173"/>
    </row>
    <row r="103" spans="1:15">
      <c r="A103" s="173"/>
      <c r="B103" s="173"/>
      <c r="C103" s="173"/>
      <c r="D103" s="173"/>
      <c r="E103" s="173"/>
      <c r="F103" s="173"/>
      <c r="G103" s="173"/>
      <c r="H103" s="173"/>
      <c r="I103" s="173"/>
      <c r="J103" s="173"/>
      <c r="K103" s="173"/>
      <c r="L103" s="173"/>
      <c r="M103" s="173"/>
      <c r="N103" s="173"/>
      <c r="O103" s="173"/>
    </row>
    <row r="104" spans="1:15">
      <c r="A104" s="173"/>
      <c r="B104" s="173"/>
      <c r="C104" s="173"/>
      <c r="D104" s="173"/>
      <c r="E104" s="173"/>
      <c r="F104" s="173"/>
      <c r="G104" s="173"/>
      <c r="H104" s="173"/>
      <c r="I104" s="173"/>
      <c r="J104" s="173"/>
      <c r="K104" s="173"/>
      <c r="L104" s="173"/>
      <c r="M104" s="173"/>
      <c r="N104" s="173"/>
      <c r="O104" s="173"/>
    </row>
    <row r="105" spans="1:15">
      <c r="A105" s="173"/>
      <c r="B105" s="173"/>
      <c r="C105" s="173"/>
      <c r="D105" s="173"/>
      <c r="E105" s="173"/>
      <c r="F105" s="173"/>
      <c r="G105" s="173"/>
      <c r="H105" s="173"/>
      <c r="I105" s="173"/>
      <c r="J105" s="173"/>
      <c r="K105" s="173"/>
      <c r="L105" s="173"/>
      <c r="M105" s="173"/>
      <c r="N105" s="173"/>
      <c r="O105" s="173"/>
    </row>
  </sheetData>
  <mergeCells count="12">
    <mergeCell ref="B81:L82"/>
    <mergeCell ref="B10:K10"/>
    <mergeCell ref="A3:L3"/>
    <mergeCell ref="A4:L4"/>
    <mergeCell ref="A5:L5"/>
    <mergeCell ref="A6:L6"/>
    <mergeCell ref="B58:J58"/>
    <mergeCell ref="B24:K24"/>
    <mergeCell ref="E12:E13"/>
    <mergeCell ref="I12:I13"/>
    <mergeCell ref="B34:J34"/>
    <mergeCell ref="G12:G13"/>
  </mergeCells>
  <phoneticPr fontId="3" type="noConversion"/>
  <pageMargins left="1.08" right="0.75" top="0.7" bottom="0.41" header="0.75" footer="0.27"/>
  <pageSetup scale="43" orientation="landscape" r:id="rId1"/>
  <headerFooter alignWithMargins="0">
    <oddHeader>&amp;R&amp;"Arial,Bold"Formula Rate
&amp;A
Page &amp;P of &amp;N</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pageSetUpPr fitToPage="1"/>
  </sheetPr>
  <dimension ref="A1:O38"/>
  <sheetViews>
    <sheetView workbookViewId="0">
      <selection activeCell="A3" sqref="A3:E3"/>
    </sheetView>
  </sheetViews>
  <sheetFormatPr defaultColWidth="8.85546875" defaultRowHeight="12.75"/>
  <cols>
    <col min="1" max="1" width="9.140625" style="273" customWidth="1"/>
    <col min="2" max="2" width="65.140625" style="173" bestFit="1" customWidth="1"/>
    <col min="3" max="3" width="13.5703125" style="173" bestFit="1" customWidth="1"/>
    <col min="4" max="4" width="1.5703125" style="173" customWidth="1"/>
    <col min="5" max="5" width="15" style="173" bestFit="1" customWidth="1"/>
    <col min="6" max="16384" width="8.85546875" style="173"/>
  </cols>
  <sheetData>
    <row r="1" spans="1:15" ht="15.75">
      <c r="A1" s="1005" t="s">
        <v>406</v>
      </c>
    </row>
    <row r="2" spans="1:15" ht="15.75">
      <c r="A2" s="1005" t="s">
        <v>406</v>
      </c>
    </row>
    <row r="3" spans="1:15" ht="15">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421"/>
      <c r="G3" s="421"/>
      <c r="H3" s="421"/>
      <c r="I3" s="421"/>
      <c r="J3" s="421"/>
      <c r="K3" s="421"/>
      <c r="L3" s="421"/>
      <c r="M3" s="421"/>
      <c r="N3" s="421"/>
      <c r="O3" s="421"/>
    </row>
    <row r="4" spans="1:15" ht="15">
      <c r="A4" s="1509" t="str">
        <f>"Cost of Service Formula Rate Using Actual/Projected FF1 Balances"</f>
        <v>Cost of Service Formula Rate Using Actual/Projected FF1 Balances</v>
      </c>
      <c r="B4" s="1509"/>
      <c r="C4" s="1509"/>
      <c r="D4" s="1509"/>
      <c r="E4" s="1509"/>
      <c r="F4" s="423"/>
      <c r="G4" s="423"/>
      <c r="H4" s="423"/>
      <c r="I4" s="423"/>
      <c r="J4" s="423"/>
      <c r="K4" s="423"/>
      <c r="L4" s="423"/>
      <c r="M4" s="441"/>
      <c r="N4" s="441"/>
      <c r="O4" s="441"/>
    </row>
    <row r="5" spans="1:15" ht="15">
      <c r="A5" s="1509" t="s">
        <v>543</v>
      </c>
      <c r="B5" s="1509"/>
      <c r="C5" s="1509"/>
      <c r="D5" s="1509"/>
      <c r="E5" s="1509"/>
      <c r="F5" s="423"/>
      <c r="G5" s="423"/>
      <c r="H5" s="423"/>
      <c r="I5" s="423"/>
      <c r="J5" s="423"/>
      <c r="K5" s="423"/>
      <c r="L5" s="423"/>
      <c r="M5" s="423"/>
      <c r="N5" s="423"/>
      <c r="O5" s="423"/>
    </row>
    <row r="6" spans="1:15" ht="15">
      <c r="A6" s="1510" t="str">
        <f>TCOS!F9</f>
        <v>AEP Appalachian Transmission Company</v>
      </c>
      <c r="B6" s="1510"/>
      <c r="C6" s="1510"/>
      <c r="D6" s="1510"/>
      <c r="E6" s="1510"/>
      <c r="F6" s="169"/>
      <c r="G6" s="169"/>
      <c r="H6" s="169"/>
      <c r="I6" s="169"/>
      <c r="J6" s="169"/>
      <c r="K6" s="169"/>
      <c r="L6" s="169"/>
      <c r="M6" s="169"/>
      <c r="N6" s="169"/>
      <c r="O6" s="169"/>
    </row>
    <row r="8" spans="1:15">
      <c r="A8" s="502" t="s">
        <v>459</v>
      </c>
      <c r="B8" s="503" t="s">
        <v>452</v>
      </c>
      <c r="C8" s="503" t="s">
        <v>453</v>
      </c>
    </row>
    <row r="9" spans="1:15">
      <c r="A9" s="502" t="s">
        <v>397</v>
      </c>
      <c r="B9" s="502" t="s">
        <v>457</v>
      </c>
      <c r="C9" s="502">
        <f>+TCOS!L4</f>
        <v>2025</v>
      </c>
    </row>
    <row r="10" spans="1:15">
      <c r="A10" s="504"/>
      <c r="B10" s="505"/>
      <c r="C10" s="503"/>
    </row>
    <row r="11" spans="1:15">
      <c r="A11" s="273">
        <v>1</v>
      </c>
      <c r="B11" s="1248" t="str">
        <f>"Net Funds from IPP Customers 12/31/"&amp;TCOS!L4-1&amp;" ("&amp;TCOS!L4&amp;" FORM 1, P269)"</f>
        <v>Net Funds from IPP Customers 12/31/2024 (2025 FORM 1, P269)</v>
      </c>
      <c r="C11" s="518">
        <v>0</v>
      </c>
      <c r="D11" s="392"/>
    </row>
    <row r="12" spans="1:15">
      <c r="B12" s="348"/>
      <c r="D12" s="392"/>
    </row>
    <row r="13" spans="1:15">
      <c r="A13" s="506">
        <v>2</v>
      </c>
      <c r="B13" s="1248" t="s">
        <v>251</v>
      </c>
      <c r="C13" s="518">
        <v>0</v>
      </c>
      <c r="D13" s="392"/>
    </row>
    <row r="14" spans="1:15">
      <c r="A14" s="506"/>
      <c r="B14" s="1248"/>
      <c r="D14" s="392"/>
    </row>
    <row r="15" spans="1:15">
      <c r="A15" s="506">
        <f>+A13+1</f>
        <v>3</v>
      </c>
      <c r="B15" s="1248" t="s">
        <v>329</v>
      </c>
      <c r="C15" s="518">
        <v>0</v>
      </c>
      <c r="D15" s="392"/>
    </row>
    <row r="16" spans="1:15">
      <c r="A16" s="506"/>
      <c r="B16" s="1248"/>
      <c r="D16" s="392"/>
    </row>
    <row r="17" spans="1:4">
      <c r="A17" s="506">
        <f>+A15+1</f>
        <v>4</v>
      </c>
      <c r="B17" s="1249" t="s">
        <v>0</v>
      </c>
      <c r="D17" s="392"/>
    </row>
    <row r="18" spans="1:4">
      <c r="A18" s="507">
        <f>+A17+1</f>
        <v>5</v>
      </c>
      <c r="B18" s="1248" t="s">
        <v>330</v>
      </c>
      <c r="C18" s="518">
        <v>0</v>
      </c>
      <c r="D18" s="392"/>
    </row>
    <row r="19" spans="1:4">
      <c r="A19" s="507">
        <f>+A18+1</f>
        <v>6</v>
      </c>
      <c r="B19" s="1250" t="s">
        <v>406</v>
      </c>
      <c r="C19" s="518">
        <v>0</v>
      </c>
      <c r="D19" s="392"/>
    </row>
    <row r="20" spans="1:4">
      <c r="A20" s="507"/>
      <c r="B20" s="348"/>
      <c r="C20" s="510"/>
      <c r="D20" s="392"/>
    </row>
    <row r="21" spans="1:4">
      <c r="A21" s="507">
        <f>+A19+1</f>
        <v>7</v>
      </c>
      <c r="B21" s="1248" t="str">
        <f>"Net Funds from IPP Customers 12/31/"&amp;TCOS!L4&amp;" ("&amp;TCOS!L4&amp;" FORM 1, P269)"</f>
        <v>Net Funds from IPP Customers 12/31/2025 (2025 FORM 1, P269)</v>
      </c>
      <c r="C21" s="511">
        <f>+C11+C13+C15+C18+C19</f>
        <v>0</v>
      </c>
      <c r="D21" s="512"/>
    </row>
    <row r="22" spans="1:4">
      <c r="A22" s="507"/>
      <c r="B22" s="509"/>
      <c r="D22" s="392"/>
    </row>
    <row r="23" spans="1:4">
      <c r="A23" s="507">
        <f>+A21+1</f>
        <v>8</v>
      </c>
      <c r="B23" s="508" t="str">
        <f>"Average Balance for Year as Indicated in Column ((ln "&amp;A11&amp;" + ln "&amp;A21&amp;")/2)"</f>
        <v>Average Balance for Year as Indicated in Column ((ln 1 + ln 7)/2)</v>
      </c>
      <c r="C23" s="513">
        <f>AVERAGE(C21,C11)</f>
        <v>0</v>
      </c>
      <c r="D23" s="392"/>
    </row>
    <row r="24" spans="1:4">
      <c r="A24" s="507"/>
      <c r="B24" s="509"/>
      <c r="D24" s="392"/>
    </row>
    <row r="25" spans="1:4">
      <c r="A25" s="507"/>
      <c r="B25" s="509"/>
      <c r="C25" s="511"/>
      <c r="D25" s="392"/>
    </row>
    <row r="26" spans="1:4" ht="15">
      <c r="A26" s="514" t="s">
        <v>287</v>
      </c>
      <c r="B26" s="1517" t="str">
        <f>"On this worksheet Company Records refers to  "&amp;A6&amp;"'s general ledger."</f>
        <v>On this worksheet Company Records refers to  AEP Appalachian Transmission Company's general ledger.</v>
      </c>
      <c r="C26" s="410"/>
      <c r="D26" s="392"/>
    </row>
    <row r="27" spans="1:4">
      <c r="A27" s="515"/>
      <c r="B27" s="1518"/>
      <c r="D27" s="392"/>
    </row>
    <row r="28" spans="1:4">
      <c r="D28" s="392"/>
    </row>
    <row r="29" spans="1:4">
      <c r="D29" s="392"/>
    </row>
    <row r="30" spans="1:4">
      <c r="D30" s="392"/>
    </row>
    <row r="31" spans="1:4">
      <c r="D31" s="392"/>
    </row>
    <row r="32" spans="1:4">
      <c r="D32" s="516"/>
    </row>
    <row r="33" spans="1:4">
      <c r="D33" s="392"/>
    </row>
    <row r="34" spans="1:4">
      <c r="D34" s="392"/>
    </row>
    <row r="35" spans="1:4">
      <c r="D35" s="392"/>
    </row>
    <row r="36" spans="1:4">
      <c r="A36" s="504"/>
      <c r="B36" s="392"/>
      <c r="C36" s="392"/>
      <c r="D36" s="392"/>
    </row>
    <row r="37" spans="1:4">
      <c r="A37" s="504"/>
      <c r="B37" s="392"/>
      <c r="C37" s="392"/>
    </row>
    <row r="38" spans="1:4">
      <c r="C38" s="517"/>
    </row>
  </sheetData>
  <mergeCells count="5">
    <mergeCell ref="B26:B27"/>
    <mergeCell ref="A3:E3"/>
    <mergeCell ref="A4:E4"/>
    <mergeCell ref="A5:E5"/>
    <mergeCell ref="A6:E6"/>
  </mergeCells>
  <phoneticPr fontId="0" type="noConversion"/>
  <pageMargins left="0.82" right="0.7" top="1" bottom="1" header="0.75" footer="0.5"/>
  <pageSetup scale="87" orientation="portrait" r:id="rId1"/>
  <headerFooter alignWithMargins="0">
    <oddHeader>&amp;R&amp;"Arial,Bold"Formula Rate 
&amp;A
Page &amp;P of &amp;N</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pageSetUpPr fitToPage="1"/>
  </sheetPr>
  <dimension ref="A1:AO151"/>
  <sheetViews>
    <sheetView zoomScaleNormal="100" workbookViewId="0">
      <selection activeCell="I19" sqref="I19"/>
    </sheetView>
  </sheetViews>
  <sheetFormatPr defaultRowHeight="15"/>
  <cols>
    <col min="1" max="1" width="9.42578125" style="519" customWidth="1"/>
    <col min="2" max="2" width="6.7109375" style="519" customWidth="1"/>
    <col min="3" max="7" width="12.7109375" style="519" customWidth="1"/>
    <col min="8" max="8" width="19.28515625" style="519" customWidth="1"/>
    <col min="9" max="9" width="15" style="519" bestFit="1" customWidth="1"/>
    <col min="10" max="11" width="16.5703125" style="519" bestFit="1" customWidth="1"/>
    <col min="12" max="13" width="22.140625" style="519" bestFit="1" customWidth="1"/>
    <col min="14" max="14" width="8.42578125" style="519" customWidth="1"/>
    <col min="15" max="38" width="12.7109375" style="519" customWidth="1"/>
    <col min="39" max="16384" width="9.140625" style="519"/>
  </cols>
  <sheetData>
    <row r="1" spans="1:22" ht="15.75">
      <c r="A1" s="1005" t="s">
        <v>406</v>
      </c>
    </row>
    <row r="2" spans="1:22" ht="15.75">
      <c r="A2" s="1005" t="s">
        <v>406</v>
      </c>
    </row>
    <row r="3" spans="1:22">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1481" t="str">
        <f>TCOS!$F$5</f>
        <v>AEPTCo subsidiaries in PJM</v>
      </c>
      <c r="G3" s="1481" t="str">
        <f>TCOS!$F$5</f>
        <v>AEPTCo subsidiaries in PJM</v>
      </c>
      <c r="H3" s="1481" t="str">
        <f>TCOS!$F$5</f>
        <v>AEPTCo subsidiaries in PJM</v>
      </c>
      <c r="I3" s="1481" t="str">
        <f>TCOS!$F$5</f>
        <v>AEPTCo subsidiaries in PJM</v>
      </c>
      <c r="J3" s="1481" t="str">
        <f>TCOS!$F$5</f>
        <v>AEPTCo subsidiaries in PJM</v>
      </c>
      <c r="K3" s="1481" t="str">
        <f>TCOS!$F$5</f>
        <v>AEPTCo subsidiaries in PJM</v>
      </c>
      <c r="L3" s="421"/>
      <c r="M3" s="421"/>
      <c r="N3" s="421"/>
      <c r="O3" s="421"/>
    </row>
    <row r="4" spans="1:22">
      <c r="A4" s="1509" t="str">
        <f>"Cost of Service Formula Rate Using Actual/Projected FF1 Balances"</f>
        <v>Cost of Service Formula Rate Using Actual/Projected FF1 Balances</v>
      </c>
      <c r="B4" s="1509"/>
      <c r="C4" s="1509"/>
      <c r="D4" s="1509"/>
      <c r="E4" s="1509"/>
      <c r="F4" s="1509"/>
      <c r="G4" s="1509"/>
      <c r="H4" s="1509"/>
      <c r="I4" s="1509"/>
      <c r="J4" s="1509"/>
      <c r="K4" s="1509"/>
      <c r="L4" s="441"/>
      <c r="M4" s="441"/>
      <c r="N4" s="441"/>
      <c r="O4" s="441"/>
    </row>
    <row r="5" spans="1:22">
      <c r="A5" s="1509" t="s">
        <v>22</v>
      </c>
      <c r="B5" s="1509"/>
      <c r="C5" s="1509"/>
      <c r="D5" s="1509"/>
      <c r="E5" s="1509"/>
      <c r="F5" s="1509"/>
      <c r="G5" s="1509"/>
      <c r="H5" s="1509"/>
      <c r="I5" s="1509"/>
      <c r="J5" s="1509"/>
      <c r="K5" s="1509"/>
      <c r="L5" s="423"/>
      <c r="M5" s="423"/>
      <c r="N5" s="423"/>
      <c r="O5" s="423"/>
    </row>
    <row r="6" spans="1:22">
      <c r="A6" s="1510" t="str">
        <f>TCOS!F9</f>
        <v>AEP Appalachian Transmission Company</v>
      </c>
      <c r="B6" s="1510"/>
      <c r="C6" s="1510"/>
      <c r="D6" s="1510"/>
      <c r="E6" s="1510"/>
      <c r="F6" s="1510"/>
      <c r="G6" s="1510"/>
      <c r="H6" s="1510"/>
      <c r="I6" s="1510"/>
      <c r="J6" s="1510"/>
      <c r="K6" s="1510"/>
      <c r="L6" s="169"/>
      <c r="M6" s="169"/>
      <c r="N6" s="169"/>
      <c r="O6" s="169"/>
    </row>
    <row r="7" spans="1:22">
      <c r="A7" s="520"/>
      <c r="B7" s="520"/>
      <c r="C7" s="520"/>
      <c r="D7" s="520"/>
      <c r="E7" s="520"/>
      <c r="F7" s="520"/>
      <c r="G7" s="520"/>
      <c r="H7" s="520"/>
      <c r="I7" s="520"/>
      <c r="J7" s="520"/>
      <c r="K7" s="520"/>
      <c r="L7" s="520"/>
      <c r="M7" s="520"/>
      <c r="N7" s="520"/>
      <c r="O7" s="520"/>
    </row>
    <row r="8" spans="1:22" ht="18">
      <c r="A8" s="1521"/>
      <c r="B8" s="1521"/>
      <c r="C8" s="1521"/>
      <c r="D8" s="1521"/>
      <c r="E8" s="1521"/>
      <c r="F8" s="1521"/>
      <c r="G8" s="1521"/>
      <c r="H8" s="1521"/>
      <c r="I8" s="1521"/>
      <c r="J8" s="1521"/>
      <c r="K8" s="1521"/>
      <c r="L8" s="522"/>
      <c r="M8" s="523"/>
    </row>
    <row r="9" spans="1:22" ht="18">
      <c r="A9" s="521"/>
      <c r="B9" s="521"/>
      <c r="C9" s="521"/>
      <c r="D9" s="521"/>
      <c r="E9" s="521"/>
      <c r="F9" s="521"/>
      <c r="G9" s="521"/>
      <c r="H9" s="521"/>
      <c r="I9" s="521"/>
      <c r="J9" s="521"/>
      <c r="K9" s="521"/>
      <c r="L9" s="522"/>
      <c r="M9" s="523"/>
    </row>
    <row r="10" spans="1:22" ht="15.75">
      <c r="A10" s="524" t="s">
        <v>459</v>
      </c>
      <c r="B10" s="522"/>
      <c r="C10" s="525"/>
      <c r="D10" s="525"/>
      <c r="E10" s="525"/>
      <c r="F10" s="525"/>
      <c r="G10" s="526"/>
      <c r="H10" s="526"/>
      <c r="I10" s="524" t="s">
        <v>472</v>
      </c>
      <c r="J10" s="524" t="s">
        <v>355</v>
      </c>
      <c r="K10" s="527"/>
      <c r="N10" s="528"/>
      <c r="P10" s="528"/>
      <c r="R10" s="528"/>
      <c r="S10" s="528"/>
      <c r="T10" s="528"/>
      <c r="U10" s="394"/>
      <c r="V10" s="394"/>
    </row>
    <row r="11" spans="1:22" ht="15.75">
      <c r="A11" s="524" t="s">
        <v>397</v>
      </c>
      <c r="B11" s="1522" t="s">
        <v>457</v>
      </c>
      <c r="C11" s="1522"/>
      <c r="D11" s="1522"/>
      <c r="E11" s="1522"/>
      <c r="F11" s="1522"/>
      <c r="G11" s="1522"/>
      <c r="H11" s="1522"/>
      <c r="I11" s="529" t="s">
        <v>473</v>
      </c>
      <c r="J11" s="529" t="s">
        <v>407</v>
      </c>
      <c r="K11" s="529" t="s">
        <v>407</v>
      </c>
      <c r="N11" s="528"/>
      <c r="O11" s="528"/>
      <c r="P11" s="528"/>
      <c r="Q11" s="528"/>
      <c r="R11" s="528"/>
      <c r="S11" s="528"/>
      <c r="T11" s="530"/>
      <c r="U11" s="394"/>
      <c r="V11" s="394"/>
    </row>
    <row r="12" spans="1:22" ht="15.75">
      <c r="A12" s="526"/>
      <c r="B12" s="531"/>
      <c r="C12" s="522"/>
      <c r="D12" s="526"/>
      <c r="E12" s="526"/>
      <c r="F12" s="526"/>
      <c r="G12" s="526"/>
      <c r="H12" s="526"/>
      <c r="I12" s="526"/>
      <c r="J12" s="526"/>
      <c r="K12" s="532"/>
      <c r="N12" s="528"/>
      <c r="O12" s="528"/>
      <c r="P12" s="528"/>
      <c r="Q12" s="528"/>
      <c r="R12" s="528"/>
      <c r="S12" s="528"/>
      <c r="T12" s="530"/>
      <c r="U12" s="394"/>
      <c r="V12" s="394"/>
    </row>
    <row r="13" spans="1:22" s="535" customFormat="1" ht="12.75">
      <c r="A13" s="533">
        <v>1</v>
      </c>
      <c r="B13" s="534" t="s">
        <v>9</v>
      </c>
      <c r="D13" s="536"/>
      <c r="E13" s="536"/>
      <c r="F13" s="537"/>
      <c r="G13" s="536"/>
      <c r="H13" s="536"/>
      <c r="I13" s="559"/>
      <c r="J13" s="538">
        <f>+I13-K13</f>
        <v>0</v>
      </c>
      <c r="K13" s="559"/>
      <c r="N13" s="314"/>
      <c r="O13" s="314"/>
      <c r="P13" s="314"/>
      <c r="Q13" s="314"/>
      <c r="R13" s="314"/>
      <c r="S13" s="314"/>
      <c r="T13" s="539"/>
      <c r="U13" s="314"/>
      <c r="V13" s="314"/>
    </row>
    <row r="14" spans="1:22" s="535" customFormat="1" ht="12.75">
      <c r="A14" s="533"/>
      <c r="B14" s="534"/>
      <c r="D14" s="536"/>
      <c r="E14" s="536"/>
      <c r="F14" s="537"/>
      <c r="G14" s="536"/>
      <c r="H14" s="536"/>
      <c r="I14" s="540"/>
      <c r="J14" s="541"/>
      <c r="K14" s="541"/>
      <c r="N14" s="314"/>
      <c r="O14" s="314"/>
      <c r="P14" s="314"/>
      <c r="Q14" s="314"/>
      <c r="R14" s="314"/>
      <c r="S14" s="314"/>
      <c r="T14" s="539"/>
      <c r="U14" s="314"/>
      <c r="V14" s="314"/>
    </row>
    <row r="15" spans="1:22" s="535" customFormat="1" ht="12.75">
      <c r="A15" s="533">
        <f>+A13+1</f>
        <v>2</v>
      </c>
      <c r="B15" s="542" t="s">
        <v>10</v>
      </c>
      <c r="D15" s="536"/>
      <c r="E15" s="536"/>
      <c r="F15" s="537"/>
      <c r="G15" s="536"/>
      <c r="H15" s="537"/>
      <c r="I15" s="559"/>
      <c r="J15" s="538">
        <f>+I15-K15</f>
        <v>0</v>
      </c>
      <c r="K15" s="559"/>
      <c r="N15" s="314"/>
      <c r="O15" s="314"/>
      <c r="P15" s="314"/>
      <c r="Q15" s="314"/>
      <c r="R15" s="314"/>
      <c r="S15" s="314"/>
      <c r="T15" s="314"/>
      <c r="U15" s="314"/>
      <c r="V15" s="314"/>
    </row>
    <row r="16" spans="1:22" s="535" customFormat="1" ht="12.75">
      <c r="A16" s="533"/>
      <c r="B16" s="542"/>
      <c r="D16" s="536"/>
      <c r="E16" s="536"/>
      <c r="F16" s="537"/>
      <c r="G16" s="536"/>
      <c r="H16" s="537"/>
      <c r="I16" s="541"/>
      <c r="J16" s="541"/>
      <c r="K16" s="543"/>
      <c r="N16" s="314"/>
      <c r="O16" s="314"/>
      <c r="P16" s="314"/>
      <c r="Q16" s="314"/>
      <c r="R16" s="314"/>
      <c r="S16" s="314"/>
      <c r="T16" s="314"/>
      <c r="U16" s="314"/>
      <c r="V16" s="314"/>
    </row>
    <row r="17" spans="1:22" s="535" customFormat="1" ht="12.75">
      <c r="A17" s="533">
        <f>+A15+1</f>
        <v>3</v>
      </c>
      <c r="B17" s="542" t="s">
        <v>11</v>
      </c>
      <c r="D17" s="536"/>
      <c r="E17" s="536"/>
      <c r="F17" s="537"/>
      <c r="G17" s="536"/>
      <c r="H17" s="536"/>
      <c r="I17" s="559"/>
      <c r="J17" s="538">
        <f>+I17-K17</f>
        <v>0</v>
      </c>
      <c r="K17" s="559"/>
      <c r="N17" s="314"/>
      <c r="O17" s="314"/>
      <c r="P17" s="314"/>
      <c r="Q17" s="314"/>
      <c r="R17" s="314"/>
      <c r="S17" s="314"/>
      <c r="T17" s="314"/>
      <c r="U17" s="314"/>
      <c r="V17" s="314"/>
    </row>
    <row r="18" spans="1:22" s="535" customFormat="1" ht="12.75">
      <c r="A18" s="533"/>
      <c r="B18" s="537"/>
      <c r="D18" s="536"/>
      <c r="E18" s="536"/>
      <c r="F18" s="537"/>
      <c r="G18" s="543"/>
      <c r="H18" s="537"/>
      <c r="I18" s="541"/>
      <c r="J18" s="541"/>
      <c r="K18" s="541"/>
      <c r="N18" s="314"/>
      <c r="O18" s="314"/>
      <c r="P18" s="314"/>
      <c r="Q18" s="314"/>
      <c r="R18" s="314"/>
      <c r="S18" s="314"/>
      <c r="T18" s="314"/>
      <c r="U18" s="314"/>
      <c r="V18" s="314"/>
    </row>
    <row r="19" spans="1:22" s="535" customFormat="1" ht="12.75">
      <c r="A19" s="1001">
        <v>4</v>
      </c>
      <c r="B19" s="1251" t="s">
        <v>768</v>
      </c>
      <c r="C19" s="348"/>
      <c r="D19" s="1252"/>
      <c r="E19" s="1252"/>
      <c r="F19" s="1252"/>
      <c r="G19" s="1002"/>
      <c r="H19" s="1252"/>
      <c r="I19" s="559"/>
      <c r="J19" s="538">
        <f>+I19-K19</f>
        <v>0</v>
      </c>
      <c r="K19" s="559"/>
      <c r="N19" s="545"/>
      <c r="O19" s="314"/>
      <c r="P19" s="314"/>
      <c r="Q19" s="314"/>
      <c r="R19" s="314"/>
      <c r="S19" s="314"/>
      <c r="T19" s="314"/>
      <c r="U19" s="314"/>
      <c r="V19" s="314"/>
    </row>
    <row r="20" spans="1:22" s="535" customFormat="1" ht="12.75">
      <c r="A20" s="1001"/>
      <c r="B20" s="1251"/>
      <c r="C20" s="348"/>
      <c r="D20" s="1252"/>
      <c r="E20" s="1252"/>
      <c r="F20" s="1252"/>
      <c r="G20" s="1002"/>
      <c r="H20" s="1252"/>
      <c r="I20" s="314"/>
      <c r="J20" s="314"/>
      <c r="K20" s="314"/>
      <c r="L20" s="314"/>
      <c r="N20" s="545"/>
      <c r="O20" s="314"/>
      <c r="P20" s="314"/>
      <c r="Q20" s="314"/>
      <c r="R20" s="314"/>
      <c r="S20" s="314"/>
      <c r="T20" s="314"/>
      <c r="U20" s="314"/>
      <c r="V20" s="314"/>
    </row>
    <row r="21" spans="1:22" s="535" customFormat="1" ht="12.75">
      <c r="A21" s="1001">
        <v>5</v>
      </c>
      <c r="B21" s="1251" t="s">
        <v>769</v>
      </c>
      <c r="C21" s="348"/>
      <c r="D21" s="1252"/>
      <c r="E21" s="1252"/>
      <c r="F21" s="1252"/>
      <c r="G21" s="1002"/>
      <c r="H21" s="1252"/>
      <c r="I21" s="559">
        <v>20978254.990229901</v>
      </c>
      <c r="J21" s="538">
        <f>+I21-K21</f>
        <v>20978254.990229901</v>
      </c>
      <c r="K21" s="559"/>
      <c r="N21" s="545"/>
      <c r="O21" s="314"/>
      <c r="P21" s="314"/>
      <c r="Q21" s="314"/>
      <c r="R21" s="314"/>
      <c r="S21" s="314"/>
      <c r="T21" s="314"/>
      <c r="U21" s="314"/>
      <c r="V21" s="314"/>
    </row>
    <row r="22" spans="1:22" s="535" customFormat="1" ht="12.75">
      <c r="A22" s="1001"/>
      <c r="B22" s="1251"/>
      <c r="C22" s="348"/>
      <c r="D22" s="1252"/>
      <c r="E22" s="1252"/>
      <c r="F22" s="1252"/>
      <c r="G22" s="1002"/>
      <c r="H22" s="1252"/>
      <c r="I22" s="559"/>
      <c r="J22" s="538"/>
      <c r="K22" s="559"/>
      <c r="N22" s="545"/>
      <c r="O22" s="314"/>
      <c r="P22" s="314"/>
      <c r="Q22" s="314"/>
      <c r="R22" s="314"/>
      <c r="S22" s="314"/>
      <c r="T22" s="314"/>
      <c r="U22" s="314"/>
      <c r="V22" s="314"/>
    </row>
    <row r="23" spans="1:22" s="535" customFormat="1" ht="12.75">
      <c r="A23" s="1001" t="s">
        <v>623</v>
      </c>
      <c r="B23" s="1251" t="s">
        <v>624</v>
      </c>
      <c r="C23" s="348"/>
      <c r="D23" s="1252"/>
      <c r="E23" s="1252"/>
      <c r="F23" s="1252"/>
      <c r="G23" s="1002"/>
      <c r="H23" s="1252"/>
      <c r="I23" s="1003"/>
      <c r="J23" s="1004">
        <v>0</v>
      </c>
      <c r="K23" s="1003"/>
      <c r="N23" s="545"/>
      <c r="O23" s="314"/>
      <c r="P23" s="314"/>
      <c r="Q23" s="314"/>
      <c r="R23" s="314"/>
      <c r="S23" s="314"/>
      <c r="T23" s="314"/>
      <c r="U23" s="314"/>
      <c r="V23" s="314"/>
    </row>
    <row r="24" spans="1:22" s="535" customFormat="1" ht="12.75">
      <c r="A24" s="1001"/>
      <c r="B24" s="1251"/>
      <c r="C24" s="348"/>
      <c r="D24" s="1252"/>
      <c r="E24" s="1252"/>
      <c r="F24" s="1252"/>
      <c r="G24" s="1002"/>
      <c r="H24" s="1252"/>
      <c r="I24" s="1003"/>
      <c r="J24" s="1004"/>
      <c r="K24" s="1003"/>
      <c r="N24" s="545"/>
      <c r="O24" s="314"/>
      <c r="P24" s="314"/>
      <c r="Q24" s="314"/>
      <c r="R24" s="314"/>
      <c r="S24" s="314"/>
      <c r="T24" s="314"/>
      <c r="U24" s="314"/>
      <c r="V24" s="314"/>
    </row>
    <row r="25" spans="1:22" s="535" customFormat="1" ht="12.75">
      <c r="A25" s="1001" t="s">
        <v>625</v>
      </c>
      <c r="B25" s="1251" t="s">
        <v>626</v>
      </c>
      <c r="C25" s="348"/>
      <c r="D25" s="1252"/>
      <c r="E25" s="1252"/>
      <c r="F25" s="1252"/>
      <c r="G25" s="1002"/>
      <c r="H25" s="1252"/>
      <c r="I25" s="1003"/>
      <c r="J25" s="1004">
        <v>0</v>
      </c>
      <c r="K25" s="1003"/>
      <c r="N25" s="545"/>
      <c r="O25" s="314"/>
      <c r="P25" s="314"/>
      <c r="Q25" s="314"/>
      <c r="R25" s="314"/>
      <c r="S25" s="314"/>
      <c r="T25" s="314"/>
      <c r="U25" s="314"/>
      <c r="V25" s="314"/>
    </row>
    <row r="26" spans="1:22" s="535" customFormat="1" ht="12.75">
      <c r="A26" s="533"/>
      <c r="B26" s="544"/>
      <c r="D26" s="536"/>
      <c r="E26" s="536"/>
      <c r="F26" s="537"/>
      <c r="G26" s="543"/>
      <c r="H26" s="537"/>
      <c r="I26" s="314"/>
      <c r="J26" s="314"/>
      <c r="K26" s="314"/>
      <c r="N26" s="314"/>
      <c r="O26" s="314"/>
      <c r="P26" s="314"/>
      <c r="Q26" s="314"/>
      <c r="R26" s="314"/>
      <c r="S26" s="314"/>
      <c r="T26" s="314"/>
      <c r="U26" s="314"/>
      <c r="V26" s="314"/>
    </row>
    <row r="27" spans="1:22" s="535" customFormat="1" ht="12.75">
      <c r="A27" s="533">
        <f>+A21+1</f>
        <v>6</v>
      </c>
      <c r="B27" s="544" t="s">
        <v>327</v>
      </c>
      <c r="D27" s="536"/>
      <c r="E27" s="536"/>
      <c r="F27" s="537"/>
      <c r="G27" s="543"/>
      <c r="H27" s="537"/>
      <c r="I27" s="547">
        <f>+I21+I19+I17+I15+I13+I23+I25</f>
        <v>20978254.990229901</v>
      </c>
      <c r="J27" s="547">
        <f>+J21+J19+J17+J15+J13+J23+J25</f>
        <v>20978254.990229901</v>
      </c>
      <c r="K27" s="547">
        <f>+K21+K19+K17+K15+K13+K23+K25</f>
        <v>0</v>
      </c>
      <c r="N27" s="314"/>
      <c r="O27" s="314"/>
      <c r="P27" s="314"/>
      <c r="Q27" s="314"/>
      <c r="R27" s="314"/>
      <c r="S27" s="314"/>
      <c r="T27" s="314"/>
      <c r="U27" s="314"/>
      <c r="V27" s="314"/>
    </row>
    <row r="28" spans="1:22" s="535" customFormat="1" ht="12.75">
      <c r="A28" s="533"/>
      <c r="B28" s="544"/>
      <c r="D28" s="536"/>
      <c r="E28" s="536"/>
      <c r="F28" s="537"/>
      <c r="G28" s="543"/>
      <c r="H28" s="537"/>
      <c r="I28" s="314"/>
      <c r="J28" s="314"/>
      <c r="K28" s="314"/>
      <c r="N28" s="314"/>
      <c r="O28" s="314"/>
      <c r="P28" s="314"/>
      <c r="Q28" s="314"/>
      <c r="R28" s="314"/>
      <c r="S28" s="314"/>
      <c r="T28" s="314"/>
      <c r="U28" s="314"/>
      <c r="V28" s="314"/>
    </row>
    <row r="29" spans="1:22" s="535" customFormat="1" ht="12.75">
      <c r="A29" s="533">
        <f>+A27+1</f>
        <v>7</v>
      </c>
      <c r="B29" s="1520" t="s">
        <v>12</v>
      </c>
      <c r="C29" s="1466"/>
      <c r="D29" s="1466"/>
      <c r="E29" s="1466"/>
      <c r="F29" s="1466"/>
      <c r="G29" s="1466"/>
      <c r="H29" s="541"/>
      <c r="I29" s="559"/>
      <c r="J29" s="538">
        <f>+I29-K29</f>
        <v>0</v>
      </c>
      <c r="K29" s="559"/>
      <c r="N29" s="314"/>
      <c r="O29" s="314"/>
      <c r="P29" s="314"/>
      <c r="Q29" s="314"/>
      <c r="R29" s="314"/>
      <c r="S29" s="314"/>
      <c r="T29" s="314"/>
      <c r="U29" s="314"/>
      <c r="V29" s="314"/>
    </row>
    <row r="30" spans="1:22" s="535" customFormat="1" ht="12.75">
      <c r="A30" s="533"/>
      <c r="B30" s="1466"/>
      <c r="C30" s="1466"/>
      <c r="D30" s="1466"/>
      <c r="E30" s="1466"/>
      <c r="F30" s="1466"/>
      <c r="G30" s="1466"/>
      <c r="H30" s="537"/>
      <c r="I30" s="546"/>
      <c r="J30" s="537"/>
      <c r="K30" s="548"/>
      <c r="N30" s="314"/>
      <c r="O30" s="314"/>
      <c r="P30" s="314"/>
      <c r="Q30" s="314"/>
      <c r="R30" s="314"/>
      <c r="S30" s="314"/>
      <c r="T30" s="314"/>
      <c r="U30" s="314"/>
      <c r="V30" s="314"/>
    </row>
    <row r="31" spans="1:22" s="535" customFormat="1" ht="12.75">
      <c r="A31" s="533">
        <f>+A29+1</f>
        <v>8</v>
      </c>
      <c r="B31" s="549" t="s">
        <v>497</v>
      </c>
      <c r="D31" s="536"/>
      <c r="E31" s="536"/>
      <c r="F31" s="537"/>
      <c r="G31" s="543"/>
      <c r="H31" s="537"/>
      <c r="I31" s="550">
        <f>+I27+I29</f>
        <v>20978254.990229901</v>
      </c>
      <c r="J31" s="550">
        <f>+J27+J29</f>
        <v>20978254.990229901</v>
      </c>
      <c r="K31" s="550">
        <f>+K27+K29</f>
        <v>0</v>
      </c>
      <c r="N31" s="314"/>
      <c r="O31" s="314"/>
      <c r="P31" s="314"/>
      <c r="Q31" s="314"/>
      <c r="R31" s="314"/>
      <c r="S31" s="314"/>
      <c r="T31" s="314"/>
      <c r="U31" s="314"/>
      <c r="V31" s="314"/>
    </row>
    <row r="32" spans="1:22" s="535" customFormat="1" ht="12.75">
      <c r="A32" s="533"/>
      <c r="B32" s="549"/>
      <c r="D32" s="536"/>
      <c r="E32" s="536"/>
      <c r="F32" s="537"/>
      <c r="G32" s="543"/>
      <c r="H32" s="537"/>
      <c r="I32" s="548"/>
      <c r="J32" s="548"/>
      <c r="K32" s="548"/>
      <c r="N32" s="314"/>
      <c r="O32" s="314"/>
      <c r="P32" s="314"/>
      <c r="Q32" s="314"/>
      <c r="R32" s="314"/>
      <c r="S32" s="314"/>
      <c r="T32" s="314"/>
      <c r="U32" s="314"/>
      <c r="V32" s="314"/>
    </row>
    <row r="33" spans="1:41" s="535" customFormat="1" ht="12.75">
      <c r="A33" s="533">
        <v>9</v>
      </c>
      <c r="B33" s="542" t="s">
        <v>547</v>
      </c>
      <c r="D33" s="536"/>
      <c r="E33" s="536"/>
      <c r="F33" s="537"/>
      <c r="G33" s="543"/>
      <c r="H33" s="537"/>
      <c r="I33" s="548"/>
      <c r="J33" s="548"/>
      <c r="K33" s="559"/>
      <c r="N33" s="314"/>
      <c r="O33" s="314"/>
      <c r="P33" s="314"/>
      <c r="Q33" s="314"/>
      <c r="R33" s="314"/>
      <c r="S33" s="314"/>
      <c r="T33" s="314"/>
      <c r="U33" s="314"/>
      <c r="V33" s="314"/>
    </row>
    <row r="34" spans="1:41" s="535" customFormat="1" ht="12.75">
      <c r="A34" s="533"/>
      <c r="B34" s="549"/>
      <c r="D34" s="536"/>
      <c r="E34" s="536"/>
      <c r="F34" s="537"/>
      <c r="G34" s="543"/>
      <c r="H34" s="537"/>
      <c r="I34" s="548"/>
      <c r="J34" s="548"/>
      <c r="K34" s="548"/>
      <c r="N34" s="314"/>
      <c r="O34" s="314"/>
      <c r="P34" s="314"/>
      <c r="Q34" s="314"/>
      <c r="R34" s="314"/>
      <c r="S34" s="314"/>
      <c r="T34" s="314"/>
      <c r="U34" s="314"/>
      <c r="V34" s="314"/>
    </row>
    <row r="35" spans="1:41" ht="15.75">
      <c r="A35" s="551"/>
      <c r="C35" s="531"/>
      <c r="D35" s="522"/>
      <c r="E35" s="522"/>
      <c r="F35" s="526"/>
      <c r="G35" s="552"/>
      <c r="H35" s="526"/>
      <c r="I35" s="553"/>
      <c r="J35" s="526"/>
      <c r="K35" s="526"/>
      <c r="L35" s="526"/>
      <c r="M35" s="554"/>
      <c r="N35" s="394"/>
      <c r="O35" s="525"/>
      <c r="P35" s="525"/>
      <c r="Q35" s="525"/>
      <c r="R35" s="525"/>
      <c r="S35" s="394"/>
      <c r="T35" s="394"/>
      <c r="U35" s="394"/>
      <c r="V35" s="394"/>
    </row>
    <row r="36" spans="1:41" s="535" customFormat="1" ht="12.75" customHeight="1">
      <c r="A36" s="209" t="s">
        <v>287</v>
      </c>
      <c r="B36" s="1519" t="str">
        <f>"The total company data on this worksheet comes from the indicated FF1 source, or "&amp;A6&amp;"'s general ledger. The functional amounts identified as transmission revenue also come from the general ledger. "</f>
        <v xml:space="preserve">The total company data on this worksheet comes from the indicated FF1 source, or AEP Appalachian Transmission Company's general ledger. The functional amounts identified as transmission revenue also come from the general ledger. </v>
      </c>
      <c r="C36" s="1519"/>
      <c r="D36" s="1519"/>
      <c r="E36" s="1519"/>
      <c r="F36" s="1519"/>
      <c r="G36" s="1519"/>
      <c r="H36" s="1519"/>
      <c r="I36" s="1519"/>
      <c r="J36" s="1519"/>
      <c r="K36" s="314"/>
      <c r="L36" s="314"/>
      <c r="M36" s="314"/>
      <c r="N36" s="314"/>
      <c r="O36" s="314"/>
      <c r="P36" s="314"/>
      <c r="Q36" s="314"/>
      <c r="R36" s="314"/>
      <c r="S36" s="314"/>
      <c r="T36" s="539"/>
      <c r="U36" s="314"/>
      <c r="V36" s="314"/>
    </row>
    <row r="37" spans="1:41" s="535" customFormat="1" ht="12.75">
      <c r="A37" s="314"/>
      <c r="B37" s="1519"/>
      <c r="C37" s="1519"/>
      <c r="D37" s="1519"/>
      <c r="E37" s="1519"/>
      <c r="F37" s="1519"/>
      <c r="G37" s="1519"/>
      <c r="H37" s="1519"/>
      <c r="I37" s="1519"/>
      <c r="J37" s="1519"/>
      <c r="K37" s="314"/>
      <c r="L37" s="348"/>
      <c r="M37" s="555"/>
      <c r="N37" s="555"/>
      <c r="O37" s="555"/>
      <c r="P37" s="555"/>
      <c r="Q37" s="555"/>
      <c r="R37" s="348"/>
      <c r="S37" s="348"/>
      <c r="T37" s="348"/>
      <c r="U37" s="348"/>
      <c r="V37" s="348"/>
      <c r="W37" s="556"/>
      <c r="X37" s="556"/>
      <c r="Y37" s="556"/>
      <c r="Z37" s="556"/>
      <c r="AA37" s="556"/>
      <c r="AB37" s="556"/>
      <c r="AC37" s="556"/>
      <c r="AD37" s="556"/>
      <c r="AE37" s="556"/>
      <c r="AF37" s="556"/>
      <c r="AG37" s="556"/>
      <c r="AH37" s="556"/>
      <c r="AI37" s="556"/>
      <c r="AJ37" s="556"/>
      <c r="AK37" s="556"/>
      <c r="AL37" s="556"/>
      <c r="AM37" s="556"/>
      <c r="AN37" s="556"/>
      <c r="AO37" s="556"/>
    </row>
    <row r="38" spans="1:41" s="535" customFormat="1" ht="12.75">
      <c r="A38" s="348" t="s">
        <v>627</v>
      </c>
      <c r="B38" s="1253" t="s">
        <v>628</v>
      </c>
      <c r="C38" s="1075"/>
      <c r="D38" s="1075"/>
      <c r="E38" s="1075"/>
      <c r="F38" s="1075"/>
      <c r="G38" s="1075"/>
      <c r="H38" s="1075"/>
      <c r="I38" s="1075"/>
      <c r="J38" s="1000"/>
      <c r="K38" s="555"/>
      <c r="L38" s="348"/>
      <c r="M38" s="555"/>
      <c r="N38" s="555"/>
      <c r="O38" s="555"/>
      <c r="P38" s="555"/>
      <c r="Q38" s="555"/>
      <c r="R38" s="348"/>
      <c r="S38" s="348"/>
      <c r="T38" s="348"/>
      <c r="U38" s="348"/>
      <c r="V38" s="348"/>
      <c r="W38" s="556"/>
      <c r="X38" s="556"/>
      <c r="Y38" s="556"/>
      <c r="Z38" s="556"/>
      <c r="AA38" s="556"/>
      <c r="AB38" s="556"/>
      <c r="AC38" s="556"/>
      <c r="AD38" s="556"/>
      <c r="AE38" s="556"/>
      <c r="AF38" s="556"/>
      <c r="AG38" s="556"/>
      <c r="AH38" s="556"/>
      <c r="AI38" s="556"/>
      <c r="AJ38" s="556"/>
      <c r="AK38" s="556"/>
      <c r="AL38" s="556"/>
      <c r="AM38" s="556"/>
      <c r="AN38" s="556"/>
      <c r="AO38" s="556"/>
    </row>
    <row r="39" spans="1:41" ht="15.75">
      <c r="A39" s="394"/>
      <c r="B39" s="393"/>
      <c r="E39" s="557"/>
      <c r="F39" s="557"/>
      <c r="G39" s="557"/>
      <c r="H39" s="557"/>
      <c r="I39" s="557"/>
      <c r="J39" s="557"/>
      <c r="K39" s="557"/>
      <c r="L39" s="393"/>
      <c r="M39" s="557"/>
      <c r="N39" s="557"/>
      <c r="O39" s="557"/>
      <c r="P39" s="557"/>
      <c r="Q39" s="557"/>
      <c r="R39" s="393"/>
      <c r="S39" s="393"/>
      <c r="T39" s="393"/>
      <c r="U39" s="393"/>
      <c r="V39" s="393"/>
      <c r="W39" s="558"/>
      <c r="X39" s="558"/>
      <c r="Y39" s="558"/>
      <c r="Z39" s="558"/>
      <c r="AA39" s="558"/>
      <c r="AB39" s="558"/>
      <c r="AC39" s="558"/>
      <c r="AD39" s="558"/>
      <c r="AE39" s="558"/>
      <c r="AF39" s="558"/>
      <c r="AG39" s="558"/>
      <c r="AH39" s="558"/>
      <c r="AI39" s="558"/>
      <c r="AJ39" s="558"/>
      <c r="AK39" s="558"/>
      <c r="AL39" s="558"/>
      <c r="AM39" s="558"/>
      <c r="AN39" s="558"/>
      <c r="AO39" s="558"/>
    </row>
    <row r="40" spans="1:41" ht="15.75">
      <c r="A40" s="394"/>
      <c r="B40" s="393"/>
      <c r="E40" s="557"/>
      <c r="F40" s="557"/>
      <c r="G40" s="557"/>
      <c r="H40" s="557"/>
      <c r="I40" s="557"/>
      <c r="J40" s="557"/>
      <c r="K40" s="557"/>
      <c r="L40" s="393"/>
      <c r="M40" s="557"/>
      <c r="N40" s="557"/>
      <c r="O40" s="557"/>
      <c r="P40" s="557"/>
      <c r="Q40" s="557"/>
      <c r="R40" s="393"/>
      <c r="S40" s="393"/>
      <c r="T40" s="393"/>
      <c r="U40" s="393"/>
      <c r="V40" s="393"/>
      <c r="W40" s="558"/>
      <c r="X40" s="558"/>
      <c r="Y40" s="558"/>
      <c r="Z40" s="558"/>
      <c r="AA40" s="558"/>
      <c r="AB40" s="558"/>
      <c r="AC40" s="558"/>
      <c r="AD40" s="558"/>
      <c r="AE40" s="558"/>
      <c r="AF40" s="558"/>
      <c r="AG40" s="558"/>
      <c r="AH40" s="558"/>
      <c r="AI40" s="558"/>
      <c r="AJ40" s="558"/>
      <c r="AK40" s="558"/>
      <c r="AL40" s="558"/>
      <c r="AM40" s="558"/>
      <c r="AN40" s="558"/>
      <c r="AO40" s="558"/>
    </row>
    <row r="41" spans="1:41" ht="15.75">
      <c r="A41" s="394"/>
      <c r="B41" s="393"/>
      <c r="E41" s="557"/>
      <c r="F41" s="557"/>
      <c r="G41" s="557"/>
      <c r="H41" s="557"/>
      <c r="I41" s="557"/>
      <c r="J41" s="557"/>
      <c r="K41" s="557"/>
      <c r="L41" s="393"/>
      <c r="M41" s="557"/>
      <c r="N41" s="557"/>
      <c r="O41" s="557"/>
      <c r="P41" s="557"/>
      <c r="Q41" s="557"/>
      <c r="R41" s="393"/>
      <c r="S41" s="393"/>
      <c r="T41" s="393"/>
      <c r="U41" s="393"/>
      <c r="V41" s="393"/>
      <c r="W41" s="558"/>
      <c r="X41" s="558"/>
      <c r="Y41" s="558"/>
      <c r="Z41" s="558"/>
      <c r="AA41" s="558"/>
      <c r="AB41" s="558"/>
      <c r="AC41" s="558"/>
      <c r="AD41" s="558"/>
      <c r="AE41" s="558"/>
      <c r="AF41" s="558"/>
      <c r="AG41" s="558"/>
      <c r="AH41" s="558"/>
      <c r="AI41" s="558"/>
      <c r="AJ41" s="558"/>
      <c r="AK41" s="558"/>
      <c r="AL41" s="558"/>
      <c r="AM41" s="558"/>
      <c r="AN41" s="558"/>
      <c r="AO41" s="558"/>
    </row>
    <row r="42" spans="1:41" ht="15.75">
      <c r="A42" s="394"/>
      <c r="B42" s="393"/>
      <c r="E42" s="557"/>
      <c r="F42" s="557"/>
      <c r="G42" s="557"/>
      <c r="H42" s="557"/>
      <c r="I42" s="557"/>
      <c r="J42" s="557"/>
      <c r="K42" s="557"/>
      <c r="L42" s="393"/>
      <c r="M42" s="557"/>
      <c r="N42" s="557"/>
      <c r="O42" s="557"/>
      <c r="P42" s="557"/>
      <c r="Q42" s="557"/>
      <c r="R42" s="393"/>
      <c r="S42" s="393"/>
      <c r="T42" s="393"/>
      <c r="U42" s="393"/>
      <c r="V42" s="393"/>
      <c r="W42" s="558"/>
      <c r="X42" s="558"/>
      <c r="Y42" s="558"/>
      <c r="Z42" s="558"/>
      <c r="AA42" s="558"/>
      <c r="AB42" s="558"/>
      <c r="AC42" s="558"/>
      <c r="AD42" s="558"/>
      <c r="AE42" s="558"/>
      <c r="AF42" s="558"/>
      <c r="AG42" s="558"/>
      <c r="AH42" s="558"/>
      <c r="AI42" s="558"/>
      <c r="AJ42" s="558"/>
      <c r="AK42" s="558"/>
      <c r="AL42" s="558"/>
      <c r="AM42" s="558"/>
      <c r="AN42" s="558"/>
      <c r="AO42" s="558"/>
    </row>
    <row r="43" spans="1:41" ht="15.75">
      <c r="A43" s="394"/>
      <c r="B43" s="393"/>
      <c r="E43" s="557"/>
      <c r="F43" s="557"/>
      <c r="G43" s="557"/>
      <c r="H43" s="557"/>
      <c r="I43" s="557"/>
      <c r="J43" s="557"/>
      <c r="K43" s="557"/>
      <c r="L43" s="393"/>
      <c r="M43" s="557"/>
      <c r="N43" s="557"/>
      <c r="O43" s="557"/>
      <c r="P43" s="557"/>
      <c r="Q43" s="557"/>
      <c r="R43" s="393"/>
      <c r="S43" s="393"/>
      <c r="T43" s="393"/>
      <c r="U43" s="393"/>
      <c r="V43" s="393"/>
      <c r="W43" s="558"/>
      <c r="X43" s="558"/>
      <c r="Y43" s="558"/>
      <c r="Z43" s="558"/>
      <c r="AA43" s="558"/>
      <c r="AB43" s="558"/>
      <c r="AC43" s="558"/>
      <c r="AD43" s="558"/>
      <c r="AE43" s="558"/>
      <c r="AF43" s="558"/>
      <c r="AG43" s="558"/>
      <c r="AH43" s="558"/>
      <c r="AI43" s="558"/>
      <c r="AJ43" s="558"/>
      <c r="AK43" s="558"/>
      <c r="AL43" s="558"/>
      <c r="AM43" s="558"/>
      <c r="AN43" s="558"/>
      <c r="AO43" s="558"/>
    </row>
    <row r="44" spans="1:41" ht="15.75">
      <c r="A44" s="394"/>
      <c r="B44" s="393"/>
      <c r="E44" s="557"/>
      <c r="F44" s="557"/>
      <c r="G44" s="557"/>
      <c r="H44" s="557"/>
      <c r="I44" s="557"/>
      <c r="J44" s="557"/>
      <c r="K44" s="557"/>
      <c r="L44" s="393"/>
      <c r="M44" s="557"/>
      <c r="N44" s="557"/>
      <c r="O44" s="557"/>
      <c r="P44" s="557"/>
      <c r="Q44" s="557"/>
      <c r="R44" s="393"/>
      <c r="S44" s="393"/>
      <c r="T44" s="393"/>
      <c r="U44" s="393"/>
      <c r="V44" s="393"/>
      <c r="W44" s="558"/>
      <c r="X44" s="558"/>
      <c r="Y44" s="558"/>
      <c r="Z44" s="558"/>
      <c r="AA44" s="558"/>
      <c r="AB44" s="558"/>
      <c r="AC44" s="558"/>
      <c r="AD44" s="558"/>
      <c r="AE44" s="558"/>
      <c r="AF44" s="558"/>
      <c r="AG44" s="558"/>
      <c r="AH44" s="558"/>
      <c r="AI44" s="558"/>
      <c r="AJ44" s="558"/>
      <c r="AK44" s="558"/>
      <c r="AL44" s="558"/>
      <c r="AM44" s="558"/>
      <c r="AN44" s="558"/>
      <c r="AO44" s="558"/>
    </row>
    <row r="45" spans="1:41" ht="15.75">
      <c r="A45" s="394"/>
      <c r="B45" s="393"/>
      <c r="E45" s="557"/>
      <c r="F45" s="557"/>
      <c r="G45" s="557"/>
      <c r="H45" s="557"/>
      <c r="I45" s="557"/>
      <c r="J45" s="557"/>
      <c r="K45" s="557"/>
      <c r="L45" s="393"/>
      <c r="M45" s="557"/>
      <c r="N45" s="557"/>
      <c r="O45" s="557"/>
      <c r="P45" s="557"/>
      <c r="Q45" s="557"/>
      <c r="R45" s="393"/>
      <c r="S45" s="393"/>
      <c r="T45" s="393"/>
      <c r="U45" s="393"/>
      <c r="V45" s="393"/>
      <c r="W45" s="558"/>
      <c r="X45" s="558"/>
      <c r="Y45" s="558"/>
      <c r="Z45" s="558"/>
      <c r="AA45" s="558"/>
      <c r="AB45" s="558"/>
      <c r="AC45" s="558"/>
      <c r="AD45" s="558"/>
      <c r="AE45" s="558"/>
      <c r="AF45" s="558"/>
      <c r="AG45" s="558"/>
      <c r="AH45" s="558"/>
      <c r="AI45" s="558"/>
      <c r="AJ45" s="558"/>
      <c r="AK45" s="558"/>
      <c r="AL45" s="558"/>
      <c r="AM45" s="558"/>
      <c r="AN45" s="558"/>
      <c r="AO45" s="558"/>
    </row>
    <row r="46" spans="1:41" ht="15.75">
      <c r="A46" s="394"/>
      <c r="B46" s="393"/>
      <c r="E46" s="557"/>
      <c r="F46" s="557"/>
      <c r="G46" s="557"/>
      <c r="H46" s="557"/>
      <c r="I46" s="557"/>
      <c r="J46" s="557"/>
      <c r="K46" s="557"/>
      <c r="L46" s="393"/>
      <c r="M46" s="557"/>
      <c r="N46" s="557"/>
      <c r="O46" s="557"/>
      <c r="P46" s="557"/>
      <c r="Q46" s="557"/>
      <c r="R46" s="393"/>
      <c r="S46" s="393"/>
      <c r="T46" s="393"/>
      <c r="U46" s="393"/>
      <c r="V46" s="393"/>
      <c r="W46" s="558"/>
      <c r="X46" s="558"/>
      <c r="Y46" s="558"/>
      <c r="Z46" s="558"/>
      <c r="AA46" s="558"/>
      <c r="AB46" s="558"/>
      <c r="AC46" s="558"/>
      <c r="AD46" s="558"/>
      <c r="AE46" s="558"/>
      <c r="AF46" s="558"/>
      <c r="AG46" s="558"/>
      <c r="AH46" s="558"/>
      <c r="AI46" s="558"/>
      <c r="AJ46" s="558"/>
      <c r="AK46" s="558"/>
      <c r="AL46" s="558"/>
      <c r="AM46" s="558"/>
      <c r="AN46" s="558"/>
      <c r="AO46" s="558"/>
    </row>
    <row r="47" spans="1:41" ht="15.75">
      <c r="A47" s="394"/>
      <c r="B47" s="393"/>
      <c r="E47" s="557"/>
      <c r="F47" s="557"/>
      <c r="G47" s="557"/>
      <c r="H47" s="557"/>
      <c r="I47" s="557"/>
      <c r="J47" s="557"/>
      <c r="K47" s="557"/>
      <c r="L47" s="393"/>
      <c r="M47" s="557"/>
      <c r="N47" s="557"/>
      <c r="O47" s="557"/>
      <c r="P47" s="557"/>
      <c r="Q47" s="557"/>
      <c r="R47" s="393"/>
      <c r="S47" s="393"/>
      <c r="T47" s="393"/>
      <c r="U47" s="393"/>
      <c r="V47" s="393"/>
      <c r="W47" s="558"/>
      <c r="X47" s="558"/>
      <c r="Y47" s="558"/>
      <c r="Z47" s="558"/>
      <c r="AA47" s="558"/>
      <c r="AB47" s="558"/>
      <c r="AC47" s="558"/>
      <c r="AD47" s="558"/>
      <c r="AE47" s="558"/>
      <c r="AF47" s="558"/>
      <c r="AG47" s="558"/>
      <c r="AH47" s="558"/>
      <c r="AI47" s="558"/>
      <c r="AJ47" s="558"/>
      <c r="AK47" s="558"/>
      <c r="AL47" s="558"/>
      <c r="AM47" s="558"/>
      <c r="AN47" s="558"/>
      <c r="AO47" s="558"/>
    </row>
    <row r="48" spans="1:41" ht="15.75">
      <c r="A48" s="394"/>
      <c r="B48" s="393"/>
      <c r="E48" s="557"/>
      <c r="F48" s="557"/>
      <c r="G48" s="557"/>
      <c r="H48" s="557"/>
      <c r="I48" s="557"/>
      <c r="J48" s="557"/>
      <c r="K48" s="557"/>
      <c r="L48" s="393"/>
      <c r="M48" s="557"/>
      <c r="N48" s="557"/>
      <c r="O48" s="557"/>
      <c r="P48" s="557"/>
      <c r="Q48" s="557"/>
      <c r="R48" s="393"/>
      <c r="S48" s="393"/>
      <c r="T48" s="393"/>
      <c r="U48" s="393"/>
      <c r="V48" s="393"/>
      <c r="W48" s="558"/>
      <c r="X48" s="558"/>
      <c r="Y48" s="558"/>
      <c r="Z48" s="558"/>
      <c r="AA48" s="558"/>
      <c r="AB48" s="558"/>
      <c r="AC48" s="558"/>
      <c r="AD48" s="558"/>
      <c r="AE48" s="558"/>
      <c r="AF48" s="558"/>
      <c r="AG48" s="558"/>
      <c r="AH48" s="558"/>
      <c r="AI48" s="558"/>
      <c r="AJ48" s="558"/>
      <c r="AK48" s="558"/>
      <c r="AL48" s="558"/>
      <c r="AM48" s="558"/>
      <c r="AN48" s="558"/>
      <c r="AO48" s="558"/>
    </row>
    <row r="49" spans="1:41" ht="15.75">
      <c r="I49" s="557"/>
      <c r="J49" s="557"/>
      <c r="K49" s="557"/>
      <c r="L49" s="393"/>
      <c r="M49" s="557"/>
      <c r="N49" s="557"/>
      <c r="O49" s="557"/>
      <c r="P49" s="557"/>
      <c r="Q49" s="557"/>
      <c r="R49" s="393"/>
      <c r="S49" s="393"/>
      <c r="T49" s="393"/>
      <c r="U49" s="393"/>
      <c r="V49" s="393"/>
      <c r="W49" s="558"/>
      <c r="X49" s="558"/>
      <c r="Y49" s="558"/>
      <c r="Z49" s="558"/>
      <c r="AA49" s="558"/>
      <c r="AB49" s="558"/>
      <c r="AC49" s="558"/>
      <c r="AD49" s="558"/>
      <c r="AE49" s="558"/>
      <c r="AF49" s="558"/>
      <c r="AG49" s="558"/>
      <c r="AH49" s="558"/>
      <c r="AI49" s="558"/>
      <c r="AJ49" s="558"/>
      <c r="AK49" s="558"/>
      <c r="AL49" s="558"/>
      <c r="AM49" s="558"/>
      <c r="AN49" s="558"/>
      <c r="AO49" s="558"/>
    </row>
    <row r="50" spans="1:41" ht="15.75">
      <c r="A50" s="394"/>
      <c r="B50" s="393"/>
      <c r="E50" s="557"/>
      <c r="F50" s="557"/>
      <c r="G50" s="557"/>
      <c r="H50" s="557"/>
      <c r="I50" s="557"/>
      <c r="J50" s="557"/>
      <c r="K50" s="557"/>
      <c r="L50" s="393"/>
      <c r="M50" s="557"/>
      <c r="N50" s="557"/>
      <c r="O50" s="557"/>
      <c r="P50" s="557"/>
      <c r="Q50" s="557"/>
      <c r="R50" s="393"/>
      <c r="S50" s="393"/>
      <c r="T50" s="393"/>
      <c r="U50" s="393"/>
      <c r="V50" s="393"/>
      <c r="W50" s="558"/>
      <c r="X50" s="558"/>
      <c r="Y50" s="558"/>
      <c r="Z50" s="558"/>
      <c r="AA50" s="558"/>
      <c r="AB50" s="558"/>
      <c r="AC50" s="558"/>
      <c r="AD50" s="558"/>
      <c r="AE50" s="558"/>
      <c r="AF50" s="558"/>
      <c r="AG50" s="558"/>
      <c r="AH50" s="558"/>
      <c r="AI50" s="558"/>
      <c r="AJ50" s="558"/>
      <c r="AK50" s="558"/>
      <c r="AL50" s="558"/>
      <c r="AM50" s="558"/>
      <c r="AN50" s="558"/>
      <c r="AO50" s="558"/>
    </row>
    <row r="51" spans="1:41" ht="15.75">
      <c r="A51" s="394"/>
      <c r="B51" s="393"/>
      <c r="E51" s="557"/>
      <c r="F51" s="557"/>
      <c r="G51" s="557"/>
      <c r="H51" s="557"/>
      <c r="I51" s="557"/>
      <c r="J51" s="557"/>
      <c r="K51" s="557"/>
      <c r="L51" s="393"/>
      <c r="M51" s="557"/>
      <c r="N51" s="557"/>
      <c r="O51" s="557"/>
      <c r="P51" s="557"/>
      <c r="Q51" s="557"/>
      <c r="R51" s="393"/>
      <c r="S51" s="393"/>
      <c r="T51" s="393"/>
      <c r="U51" s="393"/>
      <c r="V51" s="393"/>
      <c r="W51" s="558"/>
      <c r="X51" s="558"/>
      <c r="Y51" s="558"/>
      <c r="Z51" s="558"/>
      <c r="AA51" s="558"/>
      <c r="AB51" s="558"/>
      <c r="AC51" s="558"/>
      <c r="AD51" s="558"/>
      <c r="AE51" s="558"/>
      <c r="AF51" s="558"/>
      <c r="AG51" s="558"/>
      <c r="AH51" s="558"/>
      <c r="AI51" s="558"/>
      <c r="AJ51" s="558"/>
      <c r="AK51" s="558"/>
      <c r="AL51" s="558"/>
      <c r="AM51" s="558"/>
      <c r="AN51" s="558"/>
      <c r="AO51" s="558"/>
    </row>
    <row r="52" spans="1:41" ht="15.75">
      <c r="A52" s="394"/>
      <c r="B52" s="393"/>
      <c r="E52" s="557"/>
      <c r="F52" s="557"/>
      <c r="G52" s="557"/>
      <c r="H52" s="557"/>
      <c r="I52" s="557"/>
      <c r="J52" s="557"/>
      <c r="K52" s="557"/>
      <c r="L52" s="393"/>
      <c r="M52" s="557"/>
      <c r="N52" s="557"/>
      <c r="O52" s="557"/>
      <c r="P52" s="557"/>
      <c r="Q52" s="557"/>
      <c r="R52" s="393"/>
      <c r="S52" s="393"/>
      <c r="T52" s="393"/>
      <c r="U52" s="393"/>
      <c r="V52" s="393"/>
      <c r="W52" s="558"/>
      <c r="X52" s="558"/>
      <c r="Y52" s="558"/>
      <c r="Z52" s="558"/>
      <c r="AA52" s="558"/>
      <c r="AB52" s="558"/>
      <c r="AC52" s="558"/>
      <c r="AD52" s="558"/>
      <c r="AE52" s="558"/>
      <c r="AF52" s="558"/>
      <c r="AG52" s="558"/>
      <c r="AH52" s="558"/>
      <c r="AI52" s="558"/>
      <c r="AJ52" s="558"/>
      <c r="AK52" s="558"/>
      <c r="AL52" s="558"/>
      <c r="AM52" s="558"/>
      <c r="AN52" s="558"/>
      <c r="AO52" s="558"/>
    </row>
    <row r="53" spans="1:41" ht="15.75">
      <c r="A53" s="394"/>
      <c r="B53" s="393"/>
      <c r="E53" s="557"/>
      <c r="F53" s="557"/>
      <c r="G53" s="557"/>
      <c r="H53" s="557"/>
      <c r="I53" s="557"/>
      <c r="J53" s="557"/>
      <c r="K53" s="557"/>
      <c r="L53" s="393"/>
      <c r="M53" s="557"/>
      <c r="N53" s="557"/>
      <c r="O53" s="557"/>
      <c r="P53" s="557"/>
      <c r="Q53" s="557"/>
      <c r="R53" s="393"/>
      <c r="S53" s="393"/>
      <c r="T53" s="393"/>
      <c r="U53" s="393"/>
      <c r="V53" s="393"/>
      <c r="W53" s="558"/>
      <c r="X53" s="558"/>
      <c r="Y53" s="558"/>
      <c r="Z53" s="558"/>
      <c r="AA53" s="558"/>
      <c r="AB53" s="558"/>
      <c r="AC53" s="558"/>
      <c r="AD53" s="558"/>
      <c r="AE53" s="558"/>
      <c r="AF53" s="558"/>
      <c r="AG53" s="558"/>
      <c r="AH53" s="558"/>
      <c r="AI53" s="558"/>
      <c r="AJ53" s="558"/>
      <c r="AK53" s="558"/>
      <c r="AL53" s="558"/>
      <c r="AM53" s="558"/>
      <c r="AN53" s="558"/>
      <c r="AO53" s="558"/>
    </row>
    <row r="54" spans="1:41" ht="15.75">
      <c r="A54" s="394"/>
      <c r="B54" s="393"/>
      <c r="E54" s="557"/>
      <c r="F54" s="557"/>
      <c r="G54" s="557"/>
      <c r="H54" s="557"/>
      <c r="I54" s="557"/>
      <c r="J54" s="557"/>
      <c r="K54" s="557"/>
      <c r="L54" s="393"/>
      <c r="M54" s="557"/>
      <c r="N54" s="557"/>
      <c r="O54" s="557"/>
      <c r="P54" s="557"/>
      <c r="Q54" s="557"/>
      <c r="R54" s="393"/>
      <c r="S54" s="393"/>
      <c r="T54" s="393"/>
      <c r="U54" s="393"/>
      <c r="V54" s="393"/>
      <c r="W54" s="558"/>
      <c r="X54" s="558"/>
      <c r="Y54" s="558"/>
      <c r="Z54" s="558"/>
      <c r="AA54" s="558"/>
      <c r="AB54" s="558"/>
      <c r="AC54" s="558"/>
      <c r="AD54" s="558"/>
      <c r="AE54" s="558"/>
      <c r="AF54" s="558"/>
      <c r="AG54" s="558"/>
      <c r="AH54" s="558"/>
      <c r="AI54" s="558"/>
      <c r="AJ54" s="558"/>
      <c r="AK54" s="558"/>
      <c r="AL54" s="558"/>
      <c r="AM54" s="558"/>
      <c r="AN54" s="558"/>
      <c r="AO54" s="558"/>
    </row>
    <row r="55" spans="1:41" ht="15.75">
      <c r="A55" s="394"/>
      <c r="B55" s="393"/>
      <c r="E55" s="557"/>
      <c r="F55" s="557"/>
      <c r="G55" s="557"/>
      <c r="H55" s="557"/>
      <c r="I55" s="557"/>
      <c r="J55" s="557"/>
      <c r="K55" s="557"/>
      <c r="L55" s="393"/>
      <c r="M55" s="557"/>
      <c r="N55" s="557"/>
      <c r="O55" s="557"/>
      <c r="P55" s="557"/>
      <c r="Q55" s="557"/>
      <c r="R55" s="393"/>
      <c r="S55" s="393"/>
      <c r="T55" s="393"/>
      <c r="U55" s="393"/>
      <c r="V55" s="393"/>
      <c r="W55" s="558"/>
      <c r="X55" s="558"/>
      <c r="Y55" s="558"/>
      <c r="Z55" s="558"/>
      <c r="AA55" s="558"/>
      <c r="AB55" s="558"/>
      <c r="AC55" s="558"/>
      <c r="AD55" s="558"/>
      <c r="AE55" s="558"/>
      <c r="AF55" s="558"/>
      <c r="AG55" s="558"/>
      <c r="AH55" s="558"/>
      <c r="AI55" s="558"/>
      <c r="AJ55" s="558"/>
      <c r="AK55" s="558"/>
      <c r="AL55" s="558"/>
      <c r="AM55" s="558"/>
      <c r="AN55" s="558"/>
      <c r="AO55" s="558"/>
    </row>
    <row r="56" spans="1:41" ht="15.75">
      <c r="A56" s="394"/>
      <c r="B56" s="393"/>
      <c r="E56" s="557"/>
      <c r="F56" s="557"/>
      <c r="G56" s="557"/>
      <c r="H56" s="557"/>
      <c r="I56" s="557"/>
      <c r="J56" s="557"/>
      <c r="K56" s="557"/>
      <c r="L56" s="393"/>
      <c r="M56" s="557"/>
      <c r="N56" s="557"/>
      <c r="O56" s="557"/>
      <c r="P56" s="557"/>
      <c r="Q56" s="557"/>
      <c r="R56" s="393"/>
      <c r="S56" s="393"/>
      <c r="T56" s="393"/>
      <c r="U56" s="393"/>
      <c r="V56" s="393"/>
      <c r="W56" s="558"/>
      <c r="X56" s="558"/>
      <c r="Y56" s="558"/>
      <c r="Z56" s="558"/>
      <c r="AA56" s="558"/>
      <c r="AB56" s="558"/>
      <c r="AC56" s="558"/>
      <c r="AD56" s="558"/>
      <c r="AE56" s="558"/>
      <c r="AF56" s="558"/>
      <c r="AG56" s="558"/>
      <c r="AH56" s="558"/>
      <c r="AI56" s="558"/>
      <c r="AJ56" s="558"/>
      <c r="AK56" s="558"/>
      <c r="AL56" s="558"/>
      <c r="AM56" s="558"/>
      <c r="AN56" s="558"/>
      <c r="AO56" s="558"/>
    </row>
    <row r="57" spans="1:41" ht="15.75">
      <c r="A57" s="394"/>
      <c r="B57" s="393"/>
      <c r="E57" s="557"/>
      <c r="F57" s="557"/>
      <c r="G57" s="557"/>
      <c r="H57" s="557"/>
      <c r="I57" s="557"/>
      <c r="J57" s="557"/>
      <c r="K57" s="557"/>
      <c r="L57" s="393"/>
      <c r="M57" s="557"/>
      <c r="N57" s="557"/>
      <c r="O57" s="557"/>
      <c r="P57" s="557"/>
      <c r="Q57" s="557"/>
      <c r="R57" s="393"/>
      <c r="S57" s="393"/>
      <c r="T57" s="393"/>
      <c r="U57" s="393"/>
      <c r="V57" s="393"/>
      <c r="W57" s="558"/>
      <c r="X57" s="558"/>
      <c r="Y57" s="558"/>
      <c r="Z57" s="558"/>
      <c r="AA57" s="558"/>
      <c r="AB57" s="558"/>
      <c r="AC57" s="558"/>
      <c r="AD57" s="558"/>
      <c r="AE57" s="558"/>
      <c r="AF57" s="558"/>
      <c r="AG57" s="558"/>
      <c r="AH57" s="558"/>
      <c r="AI57" s="558"/>
      <c r="AJ57" s="558"/>
      <c r="AK57" s="558"/>
      <c r="AL57" s="558"/>
      <c r="AM57" s="558"/>
      <c r="AN57" s="558"/>
      <c r="AO57" s="558"/>
    </row>
    <row r="58" spans="1:41" ht="15.75">
      <c r="A58" s="394"/>
      <c r="B58" s="393"/>
      <c r="E58" s="557"/>
      <c r="F58" s="557"/>
      <c r="G58" s="557"/>
      <c r="H58" s="557"/>
      <c r="I58" s="557"/>
      <c r="J58" s="557"/>
      <c r="K58" s="557"/>
      <c r="L58" s="393"/>
      <c r="M58" s="557"/>
      <c r="N58" s="557"/>
      <c r="O58" s="557"/>
      <c r="P58" s="557"/>
      <c r="Q58" s="557"/>
      <c r="R58" s="393"/>
      <c r="S58" s="393"/>
      <c r="T58" s="393"/>
      <c r="U58" s="393"/>
      <c r="V58" s="393"/>
      <c r="W58" s="558"/>
      <c r="X58" s="558"/>
      <c r="Y58" s="558"/>
      <c r="Z58" s="558"/>
      <c r="AA58" s="558"/>
      <c r="AB58" s="558"/>
      <c r="AC58" s="558"/>
      <c r="AD58" s="558"/>
      <c r="AE58" s="558"/>
      <c r="AF58" s="558"/>
      <c r="AG58" s="558"/>
      <c r="AH58" s="558"/>
      <c r="AI58" s="558"/>
      <c r="AJ58" s="558"/>
      <c r="AK58" s="558"/>
      <c r="AL58" s="558"/>
      <c r="AM58" s="558"/>
      <c r="AN58" s="558"/>
      <c r="AO58" s="558"/>
    </row>
    <row r="59" spans="1:41" ht="15.75">
      <c r="A59" s="394"/>
      <c r="B59" s="393"/>
      <c r="E59" s="557"/>
      <c r="F59" s="557"/>
      <c r="G59" s="557"/>
      <c r="H59" s="557"/>
      <c r="I59" s="557"/>
      <c r="J59" s="557"/>
      <c r="K59" s="557"/>
      <c r="L59" s="393"/>
      <c r="M59" s="557"/>
      <c r="N59" s="557"/>
      <c r="O59" s="557"/>
      <c r="P59" s="557"/>
      <c r="Q59" s="557"/>
      <c r="R59" s="393"/>
      <c r="S59" s="393"/>
      <c r="T59" s="393"/>
      <c r="U59" s="393"/>
      <c r="V59" s="393"/>
      <c r="W59" s="558"/>
      <c r="X59" s="558"/>
      <c r="Y59" s="558"/>
      <c r="Z59" s="558"/>
      <c r="AA59" s="558"/>
      <c r="AB59" s="558"/>
      <c r="AC59" s="558"/>
      <c r="AD59" s="558"/>
      <c r="AE59" s="558"/>
      <c r="AF59" s="558"/>
      <c r="AG59" s="558"/>
      <c r="AH59" s="558"/>
      <c r="AI59" s="558"/>
      <c r="AJ59" s="558"/>
      <c r="AK59" s="558"/>
      <c r="AL59" s="558"/>
      <c r="AM59" s="558"/>
      <c r="AN59" s="558"/>
      <c r="AO59" s="558"/>
    </row>
    <row r="60" spans="1:41" ht="15.75">
      <c r="A60" s="394"/>
      <c r="B60" s="393"/>
      <c r="E60" s="557"/>
      <c r="F60" s="557"/>
      <c r="G60" s="557"/>
      <c r="H60" s="557"/>
      <c r="I60" s="557"/>
      <c r="J60" s="557"/>
      <c r="K60" s="557"/>
      <c r="L60" s="393"/>
      <c r="M60" s="557"/>
      <c r="N60" s="557"/>
      <c r="O60" s="557"/>
      <c r="P60" s="557"/>
      <c r="Q60" s="557"/>
      <c r="R60" s="393"/>
      <c r="S60" s="393"/>
      <c r="T60" s="393"/>
      <c r="U60" s="393"/>
      <c r="V60" s="393"/>
      <c r="W60" s="558"/>
      <c r="X60" s="558"/>
      <c r="Y60" s="558"/>
      <c r="Z60" s="558"/>
      <c r="AA60" s="558"/>
      <c r="AB60" s="558"/>
      <c r="AC60" s="558"/>
      <c r="AD60" s="558"/>
      <c r="AE60" s="558"/>
      <c r="AF60" s="558"/>
      <c r="AG60" s="558"/>
      <c r="AH60" s="558"/>
      <c r="AI60" s="558"/>
      <c r="AJ60" s="558"/>
      <c r="AK60" s="558"/>
      <c r="AL60" s="558"/>
      <c r="AM60" s="558"/>
      <c r="AN60" s="558"/>
      <c r="AO60" s="558"/>
    </row>
    <row r="61" spans="1:41" ht="15.75">
      <c r="A61" s="394"/>
      <c r="B61" s="393"/>
      <c r="E61" s="557"/>
      <c r="F61" s="557"/>
      <c r="G61" s="557"/>
      <c r="H61" s="557"/>
      <c r="I61" s="557"/>
      <c r="J61" s="557"/>
      <c r="K61" s="557"/>
      <c r="L61" s="393"/>
      <c r="M61" s="557"/>
      <c r="N61" s="557"/>
      <c r="O61" s="557"/>
      <c r="P61" s="557"/>
      <c r="Q61" s="557"/>
      <c r="R61" s="393"/>
      <c r="S61" s="393"/>
      <c r="T61" s="393"/>
      <c r="U61" s="393"/>
      <c r="V61" s="393"/>
      <c r="W61" s="558"/>
      <c r="X61" s="558"/>
      <c r="Y61" s="558"/>
      <c r="Z61" s="558"/>
      <c r="AA61" s="558"/>
      <c r="AB61" s="558"/>
      <c r="AC61" s="558"/>
      <c r="AD61" s="558"/>
      <c r="AE61" s="558"/>
      <c r="AF61" s="558"/>
      <c r="AG61" s="558"/>
      <c r="AH61" s="558"/>
      <c r="AI61" s="558"/>
      <c r="AJ61" s="558"/>
      <c r="AK61" s="558"/>
      <c r="AL61" s="558"/>
      <c r="AM61" s="558"/>
      <c r="AN61" s="558"/>
      <c r="AO61" s="558"/>
    </row>
    <row r="62" spans="1:41" ht="15.75">
      <c r="A62" s="394"/>
      <c r="B62" s="393"/>
      <c r="E62" s="557"/>
      <c r="F62" s="557"/>
      <c r="G62" s="557"/>
      <c r="H62" s="557"/>
      <c r="I62" s="557"/>
      <c r="J62" s="557"/>
      <c r="K62" s="557"/>
      <c r="L62" s="393"/>
      <c r="M62" s="557"/>
      <c r="N62" s="557"/>
      <c r="O62" s="557"/>
      <c r="P62" s="557"/>
      <c r="Q62" s="557"/>
      <c r="R62" s="393"/>
      <c r="S62" s="393"/>
      <c r="T62" s="393"/>
      <c r="U62" s="393"/>
      <c r="V62" s="393"/>
      <c r="W62" s="558"/>
      <c r="X62" s="558"/>
      <c r="Y62" s="558"/>
      <c r="Z62" s="558"/>
      <c r="AA62" s="558"/>
      <c r="AB62" s="558"/>
      <c r="AC62" s="558"/>
      <c r="AD62" s="558"/>
      <c r="AE62" s="558"/>
      <c r="AF62" s="558"/>
      <c r="AG62" s="558"/>
      <c r="AH62" s="558"/>
      <c r="AI62" s="558"/>
      <c r="AJ62" s="558"/>
      <c r="AK62" s="558"/>
      <c r="AL62" s="558"/>
      <c r="AM62" s="558"/>
      <c r="AN62" s="558"/>
      <c r="AO62" s="558"/>
    </row>
    <row r="63" spans="1:41" ht="15.75">
      <c r="A63" s="394"/>
      <c r="B63" s="393"/>
      <c r="E63" s="557"/>
      <c r="F63" s="557"/>
      <c r="G63" s="557"/>
      <c r="H63" s="557"/>
      <c r="I63" s="557"/>
      <c r="J63" s="557"/>
      <c r="K63" s="557"/>
      <c r="L63" s="393"/>
      <c r="M63" s="557"/>
      <c r="N63" s="557"/>
      <c r="O63" s="557"/>
      <c r="P63" s="557"/>
      <c r="Q63" s="557"/>
      <c r="R63" s="393"/>
      <c r="S63" s="393"/>
      <c r="T63" s="393"/>
      <c r="U63" s="393"/>
      <c r="V63" s="393"/>
      <c r="W63" s="558"/>
      <c r="X63" s="558"/>
      <c r="Y63" s="558"/>
      <c r="Z63" s="558"/>
      <c r="AA63" s="558"/>
      <c r="AB63" s="558"/>
      <c r="AC63" s="558"/>
      <c r="AD63" s="558"/>
      <c r="AE63" s="558"/>
      <c r="AF63" s="558"/>
      <c r="AG63" s="558"/>
      <c r="AH63" s="558"/>
      <c r="AI63" s="558"/>
      <c r="AJ63" s="558"/>
      <c r="AK63" s="558"/>
      <c r="AL63" s="558"/>
      <c r="AM63" s="558"/>
      <c r="AN63" s="558"/>
      <c r="AO63" s="558"/>
    </row>
    <row r="64" spans="1:41" ht="15.75">
      <c r="A64" s="394"/>
      <c r="B64" s="393"/>
      <c r="E64" s="557"/>
      <c r="F64" s="557"/>
      <c r="G64" s="557"/>
      <c r="H64" s="557"/>
      <c r="I64" s="557"/>
      <c r="J64" s="557"/>
      <c r="K64" s="557"/>
      <c r="L64" s="393"/>
      <c r="M64" s="557"/>
      <c r="N64" s="557"/>
      <c r="O64" s="557"/>
      <c r="P64" s="557"/>
      <c r="Q64" s="557"/>
      <c r="R64" s="393"/>
      <c r="S64" s="393"/>
      <c r="T64" s="393"/>
      <c r="U64" s="393"/>
      <c r="V64" s="393"/>
      <c r="W64" s="558"/>
      <c r="X64" s="558"/>
      <c r="Y64" s="558"/>
      <c r="Z64" s="558"/>
      <c r="AA64" s="558"/>
      <c r="AB64" s="558"/>
      <c r="AC64" s="558"/>
      <c r="AD64" s="558"/>
      <c r="AE64" s="558"/>
      <c r="AF64" s="558"/>
      <c r="AG64" s="558"/>
      <c r="AH64" s="558"/>
      <c r="AI64" s="558"/>
      <c r="AJ64" s="558"/>
      <c r="AK64" s="558"/>
      <c r="AL64" s="558"/>
      <c r="AM64" s="558"/>
      <c r="AN64" s="558"/>
      <c r="AO64" s="558"/>
    </row>
    <row r="65" spans="1:41" ht="15.75">
      <c r="A65" s="394"/>
      <c r="B65" s="393"/>
      <c r="E65" s="557"/>
      <c r="F65" s="557"/>
      <c r="G65" s="557"/>
      <c r="H65" s="557"/>
      <c r="I65" s="557"/>
      <c r="J65" s="557"/>
      <c r="K65" s="557"/>
      <c r="L65" s="393"/>
      <c r="M65" s="557"/>
      <c r="N65" s="557"/>
      <c r="O65" s="557"/>
      <c r="P65" s="557"/>
      <c r="Q65" s="557"/>
      <c r="R65" s="393"/>
      <c r="S65" s="393"/>
      <c r="T65" s="393"/>
      <c r="U65" s="393"/>
      <c r="V65" s="393"/>
      <c r="W65" s="558"/>
      <c r="X65" s="558"/>
      <c r="Y65" s="558"/>
      <c r="Z65" s="558"/>
      <c r="AA65" s="558"/>
      <c r="AB65" s="558"/>
      <c r="AC65" s="558"/>
      <c r="AD65" s="558"/>
      <c r="AE65" s="558"/>
      <c r="AF65" s="558"/>
      <c r="AG65" s="558"/>
      <c r="AH65" s="558"/>
      <c r="AI65" s="558"/>
      <c r="AJ65" s="558"/>
      <c r="AK65" s="558"/>
      <c r="AL65" s="558"/>
      <c r="AM65" s="558"/>
      <c r="AN65" s="558"/>
      <c r="AO65" s="558"/>
    </row>
    <row r="66" spans="1:41" ht="15.75">
      <c r="A66" s="394"/>
      <c r="B66" s="393"/>
      <c r="E66" s="557"/>
      <c r="F66" s="557"/>
      <c r="G66" s="557"/>
      <c r="H66" s="557"/>
      <c r="I66" s="557"/>
      <c r="J66" s="557"/>
      <c r="K66" s="557"/>
      <c r="L66" s="393"/>
      <c r="M66" s="557"/>
      <c r="N66" s="557"/>
      <c r="O66" s="557"/>
      <c r="P66" s="557"/>
      <c r="Q66" s="557"/>
      <c r="R66" s="393"/>
      <c r="S66" s="393"/>
      <c r="T66" s="393"/>
      <c r="U66" s="393"/>
      <c r="V66" s="393"/>
      <c r="W66" s="558"/>
      <c r="X66" s="558"/>
      <c r="Y66" s="558"/>
      <c r="Z66" s="558"/>
      <c r="AA66" s="558"/>
      <c r="AB66" s="558"/>
      <c r="AC66" s="558"/>
      <c r="AD66" s="558"/>
      <c r="AE66" s="558"/>
      <c r="AF66" s="558"/>
      <c r="AG66" s="558"/>
      <c r="AH66" s="558"/>
      <c r="AI66" s="558"/>
      <c r="AJ66" s="558"/>
      <c r="AK66" s="558"/>
      <c r="AL66" s="558"/>
      <c r="AM66" s="558"/>
      <c r="AN66" s="558"/>
      <c r="AO66" s="558"/>
    </row>
    <row r="67" spans="1:41" ht="15.75">
      <c r="A67" s="394"/>
      <c r="B67" s="393"/>
      <c r="E67" s="557"/>
      <c r="F67" s="557"/>
      <c r="G67" s="557"/>
      <c r="H67" s="557"/>
      <c r="I67" s="557"/>
      <c r="J67" s="557"/>
      <c r="K67" s="557"/>
      <c r="L67" s="393"/>
      <c r="M67" s="557"/>
      <c r="N67" s="557"/>
      <c r="O67" s="557"/>
      <c r="P67" s="557"/>
      <c r="Q67" s="557"/>
      <c r="R67" s="393"/>
      <c r="S67" s="393"/>
      <c r="T67" s="393"/>
      <c r="U67" s="393"/>
      <c r="V67" s="393"/>
      <c r="W67" s="558"/>
      <c r="X67" s="558"/>
      <c r="Y67" s="558"/>
      <c r="Z67" s="558"/>
      <c r="AA67" s="558"/>
      <c r="AB67" s="558"/>
      <c r="AC67" s="558"/>
      <c r="AD67" s="558"/>
      <c r="AE67" s="558"/>
      <c r="AF67" s="558"/>
      <c r="AG67" s="558"/>
      <c r="AH67" s="558"/>
      <c r="AI67" s="558"/>
      <c r="AJ67" s="558"/>
      <c r="AK67" s="558"/>
      <c r="AL67" s="558"/>
      <c r="AM67" s="558"/>
      <c r="AN67" s="558"/>
      <c r="AO67" s="558"/>
    </row>
    <row r="68" spans="1:41" ht="15.75">
      <c r="A68" s="394"/>
      <c r="B68" s="393"/>
      <c r="E68" s="557"/>
      <c r="F68" s="557"/>
      <c r="G68" s="557"/>
      <c r="H68" s="557"/>
      <c r="I68" s="557"/>
      <c r="J68" s="557"/>
      <c r="K68" s="557"/>
      <c r="L68" s="393"/>
      <c r="M68" s="557"/>
      <c r="N68" s="557"/>
      <c r="O68" s="557"/>
      <c r="P68" s="557"/>
      <c r="Q68" s="557"/>
      <c r="R68" s="393"/>
      <c r="S68" s="393"/>
      <c r="T68" s="393"/>
      <c r="U68" s="393"/>
      <c r="V68" s="393"/>
      <c r="W68" s="558"/>
      <c r="X68" s="558"/>
      <c r="Y68" s="558"/>
      <c r="Z68" s="558"/>
      <c r="AA68" s="558"/>
      <c r="AB68" s="558"/>
      <c r="AC68" s="558"/>
      <c r="AD68" s="558"/>
      <c r="AE68" s="558"/>
      <c r="AF68" s="558"/>
      <c r="AG68" s="558"/>
      <c r="AH68" s="558"/>
      <c r="AI68" s="558"/>
      <c r="AJ68" s="558"/>
      <c r="AK68" s="558"/>
      <c r="AL68" s="558"/>
      <c r="AM68" s="558"/>
      <c r="AN68" s="558"/>
      <c r="AO68" s="558"/>
    </row>
    <row r="69" spans="1:41" ht="15.75">
      <c r="A69" s="394"/>
      <c r="B69" s="393"/>
      <c r="E69" s="557"/>
      <c r="F69" s="557"/>
      <c r="G69" s="557"/>
      <c r="H69" s="557"/>
      <c r="I69" s="557"/>
      <c r="J69" s="557"/>
      <c r="K69" s="557"/>
      <c r="L69" s="393"/>
      <c r="M69" s="557"/>
      <c r="N69" s="557"/>
      <c r="O69" s="557"/>
      <c r="P69" s="557"/>
      <c r="Q69" s="557"/>
      <c r="R69" s="393"/>
      <c r="S69" s="393"/>
      <c r="T69" s="393"/>
      <c r="U69" s="393"/>
      <c r="V69" s="393"/>
      <c r="W69" s="558"/>
      <c r="X69" s="558"/>
      <c r="Y69" s="558"/>
      <c r="Z69" s="558"/>
      <c r="AA69" s="558"/>
      <c r="AB69" s="558"/>
      <c r="AC69" s="558"/>
      <c r="AD69" s="558"/>
      <c r="AE69" s="558"/>
      <c r="AF69" s="558"/>
      <c r="AG69" s="558"/>
      <c r="AH69" s="558"/>
      <c r="AI69" s="558"/>
      <c r="AJ69" s="558"/>
      <c r="AK69" s="558"/>
      <c r="AL69" s="558"/>
      <c r="AM69" s="558"/>
      <c r="AN69" s="558"/>
      <c r="AO69" s="558"/>
    </row>
    <row r="70" spans="1:41" ht="15.75">
      <c r="A70" s="394"/>
      <c r="B70" s="393"/>
      <c r="E70" s="557"/>
      <c r="F70" s="557"/>
      <c r="G70" s="557"/>
      <c r="H70" s="557"/>
      <c r="I70" s="557"/>
      <c r="J70" s="557"/>
      <c r="K70" s="557"/>
      <c r="L70" s="393"/>
      <c r="M70" s="557"/>
      <c r="N70" s="557"/>
      <c r="O70" s="557"/>
      <c r="P70" s="557"/>
      <c r="Q70" s="557"/>
      <c r="R70" s="393"/>
      <c r="S70" s="393"/>
      <c r="T70" s="393"/>
      <c r="U70" s="393"/>
      <c r="V70" s="393"/>
      <c r="W70" s="558"/>
      <c r="X70" s="558"/>
      <c r="Y70" s="558"/>
      <c r="Z70" s="558"/>
      <c r="AA70" s="558"/>
      <c r="AB70" s="558"/>
      <c r="AC70" s="558"/>
      <c r="AD70" s="558"/>
      <c r="AE70" s="558"/>
      <c r="AF70" s="558"/>
      <c r="AG70" s="558"/>
      <c r="AH70" s="558"/>
      <c r="AI70" s="558"/>
      <c r="AJ70" s="558"/>
      <c r="AK70" s="558"/>
      <c r="AL70" s="558"/>
      <c r="AM70" s="558"/>
      <c r="AN70" s="558"/>
      <c r="AO70" s="558"/>
    </row>
    <row r="71" spans="1:41" ht="15.75">
      <c r="A71" s="394"/>
      <c r="B71" s="393"/>
      <c r="E71" s="557"/>
      <c r="F71" s="557"/>
      <c r="G71" s="557"/>
      <c r="H71" s="557"/>
      <c r="I71" s="557"/>
      <c r="J71" s="557"/>
      <c r="K71" s="557"/>
      <c r="L71" s="393"/>
      <c r="M71" s="557"/>
      <c r="N71" s="557"/>
      <c r="O71" s="557"/>
      <c r="P71" s="557"/>
      <c r="Q71" s="557"/>
      <c r="R71" s="393"/>
      <c r="S71" s="393"/>
      <c r="T71" s="393"/>
      <c r="U71" s="393"/>
      <c r="V71" s="393"/>
      <c r="W71" s="558"/>
      <c r="X71" s="558"/>
      <c r="Y71" s="558"/>
      <c r="Z71" s="558"/>
      <c r="AA71" s="558"/>
      <c r="AB71" s="558"/>
      <c r="AC71" s="558"/>
      <c r="AD71" s="558"/>
      <c r="AE71" s="558"/>
      <c r="AF71" s="558"/>
      <c r="AG71" s="558"/>
      <c r="AH71" s="558"/>
      <c r="AI71" s="558"/>
      <c r="AJ71" s="558"/>
      <c r="AK71" s="558"/>
      <c r="AL71" s="558"/>
      <c r="AM71" s="558"/>
      <c r="AN71" s="558"/>
      <c r="AO71" s="558"/>
    </row>
    <row r="72" spans="1:41" ht="15.75">
      <c r="A72" s="394"/>
      <c r="B72" s="393"/>
      <c r="E72" s="557"/>
      <c r="F72" s="557"/>
      <c r="G72" s="557"/>
      <c r="H72" s="557"/>
      <c r="I72" s="557"/>
      <c r="J72" s="557"/>
      <c r="K72" s="557"/>
      <c r="L72" s="393"/>
      <c r="M72" s="557"/>
      <c r="N72" s="557"/>
      <c r="O72" s="557"/>
      <c r="P72" s="557"/>
      <c r="Q72" s="557"/>
      <c r="R72" s="393"/>
      <c r="S72" s="393"/>
      <c r="T72" s="393"/>
      <c r="U72" s="393"/>
      <c r="V72" s="393"/>
      <c r="W72" s="558"/>
      <c r="X72" s="558"/>
      <c r="Y72" s="558"/>
      <c r="Z72" s="558"/>
      <c r="AA72" s="558"/>
      <c r="AB72" s="558"/>
      <c r="AC72" s="558"/>
      <c r="AD72" s="558"/>
      <c r="AE72" s="558"/>
      <c r="AF72" s="558"/>
      <c r="AG72" s="558"/>
      <c r="AH72" s="558"/>
      <c r="AI72" s="558"/>
      <c r="AJ72" s="558"/>
      <c r="AK72" s="558"/>
      <c r="AL72" s="558"/>
      <c r="AM72" s="558"/>
      <c r="AN72" s="558"/>
      <c r="AO72" s="558"/>
    </row>
    <row r="73" spans="1:41" ht="15.75">
      <c r="A73" s="394"/>
      <c r="B73" s="393"/>
      <c r="E73" s="557"/>
      <c r="F73" s="557"/>
      <c r="G73" s="557"/>
      <c r="H73" s="557"/>
      <c r="I73" s="557"/>
      <c r="J73" s="557"/>
      <c r="K73" s="557"/>
      <c r="L73" s="393"/>
      <c r="M73" s="557"/>
      <c r="N73" s="557"/>
      <c r="O73" s="557"/>
      <c r="P73" s="557"/>
      <c r="Q73" s="557"/>
      <c r="R73" s="393"/>
      <c r="S73" s="393"/>
      <c r="T73" s="393"/>
      <c r="U73" s="393"/>
      <c r="V73" s="393"/>
      <c r="W73" s="558"/>
      <c r="X73" s="558"/>
      <c r="Y73" s="558"/>
      <c r="Z73" s="558"/>
      <c r="AA73" s="558"/>
      <c r="AB73" s="558"/>
      <c r="AC73" s="558"/>
      <c r="AD73" s="558"/>
      <c r="AE73" s="558"/>
      <c r="AF73" s="558"/>
      <c r="AG73" s="558"/>
      <c r="AH73" s="558"/>
      <c r="AI73" s="558"/>
      <c r="AJ73" s="558"/>
      <c r="AK73" s="558"/>
      <c r="AL73" s="558"/>
      <c r="AM73" s="558"/>
      <c r="AN73" s="558"/>
      <c r="AO73" s="558"/>
    </row>
    <row r="74" spans="1:41" ht="15.75">
      <c r="A74" s="394"/>
      <c r="B74" s="393"/>
      <c r="E74" s="557"/>
      <c r="F74" s="557"/>
      <c r="G74" s="557"/>
      <c r="H74" s="557"/>
      <c r="I74" s="557"/>
      <c r="J74" s="557"/>
      <c r="K74" s="557"/>
      <c r="L74" s="393"/>
      <c r="M74" s="557"/>
      <c r="N74" s="557"/>
      <c r="O74" s="557"/>
      <c r="P74" s="557"/>
      <c r="Q74" s="557"/>
      <c r="R74" s="393"/>
      <c r="S74" s="393"/>
      <c r="T74" s="393"/>
      <c r="U74" s="393"/>
      <c r="V74" s="393"/>
      <c r="W74" s="558"/>
      <c r="X74" s="558"/>
      <c r="Y74" s="558"/>
      <c r="Z74" s="558"/>
      <c r="AA74" s="558"/>
      <c r="AB74" s="558"/>
      <c r="AC74" s="558"/>
      <c r="AD74" s="558"/>
      <c r="AE74" s="558"/>
      <c r="AF74" s="558"/>
      <c r="AG74" s="558"/>
      <c r="AH74" s="558"/>
      <c r="AI74" s="558"/>
      <c r="AJ74" s="558"/>
      <c r="AK74" s="558"/>
      <c r="AL74" s="558"/>
      <c r="AM74" s="558"/>
      <c r="AN74" s="558"/>
      <c r="AO74" s="558"/>
    </row>
    <row r="75" spans="1:41" ht="15.75">
      <c r="A75" s="394"/>
      <c r="B75" s="393"/>
      <c r="E75" s="557"/>
      <c r="F75" s="557"/>
      <c r="G75" s="557"/>
      <c r="H75" s="557"/>
      <c r="I75" s="557"/>
      <c r="J75" s="557"/>
      <c r="K75" s="557"/>
      <c r="L75" s="393"/>
      <c r="M75" s="557"/>
      <c r="N75" s="557"/>
      <c r="O75" s="557"/>
      <c r="P75" s="557"/>
      <c r="Q75" s="557"/>
      <c r="R75" s="393"/>
      <c r="S75" s="393"/>
      <c r="T75" s="393"/>
      <c r="U75" s="393"/>
      <c r="V75" s="393"/>
      <c r="W75" s="558"/>
      <c r="X75" s="558"/>
      <c r="Y75" s="558"/>
      <c r="Z75" s="558"/>
      <c r="AA75" s="558"/>
      <c r="AB75" s="558"/>
      <c r="AC75" s="558"/>
      <c r="AD75" s="558"/>
      <c r="AE75" s="558"/>
      <c r="AF75" s="558"/>
      <c r="AG75" s="558"/>
      <c r="AH75" s="558"/>
      <c r="AI75" s="558"/>
      <c r="AJ75" s="558"/>
      <c r="AK75" s="558"/>
      <c r="AL75" s="558"/>
      <c r="AM75" s="558"/>
      <c r="AN75" s="558"/>
      <c r="AO75" s="558"/>
    </row>
    <row r="76" spans="1:41" ht="15.75">
      <c r="A76" s="394"/>
      <c r="B76" s="393"/>
      <c r="E76" s="557"/>
      <c r="F76" s="557"/>
      <c r="G76" s="557"/>
      <c r="H76" s="557"/>
      <c r="I76" s="557"/>
      <c r="J76" s="557"/>
      <c r="K76" s="557"/>
      <c r="L76" s="393"/>
      <c r="M76" s="557"/>
      <c r="N76" s="557"/>
      <c r="O76" s="557"/>
      <c r="P76" s="557"/>
      <c r="Q76" s="557"/>
      <c r="R76" s="393"/>
      <c r="S76" s="393"/>
      <c r="T76" s="393"/>
      <c r="U76" s="393"/>
      <c r="V76" s="393"/>
      <c r="W76" s="558"/>
      <c r="X76" s="558"/>
      <c r="Y76" s="558"/>
      <c r="Z76" s="558"/>
      <c r="AA76" s="558"/>
      <c r="AB76" s="558"/>
      <c r="AC76" s="558"/>
      <c r="AD76" s="558"/>
      <c r="AE76" s="558"/>
      <c r="AF76" s="558"/>
      <c r="AG76" s="558"/>
      <c r="AH76" s="558"/>
      <c r="AI76" s="558"/>
      <c r="AJ76" s="558"/>
      <c r="AK76" s="558"/>
      <c r="AL76" s="558"/>
      <c r="AM76" s="558"/>
      <c r="AN76" s="558"/>
      <c r="AO76" s="558"/>
    </row>
    <row r="77" spans="1:41" ht="15.75">
      <c r="A77" s="394"/>
      <c r="B77" s="393"/>
      <c r="E77" s="557"/>
      <c r="F77" s="557"/>
      <c r="G77" s="557"/>
      <c r="H77" s="557"/>
      <c r="I77" s="557"/>
      <c r="J77" s="557"/>
      <c r="K77" s="557"/>
      <c r="L77" s="393"/>
      <c r="M77" s="557"/>
      <c r="N77" s="557"/>
      <c r="O77" s="557"/>
      <c r="P77" s="557"/>
      <c r="Q77" s="557"/>
      <c r="R77" s="393"/>
      <c r="S77" s="393"/>
      <c r="T77" s="393"/>
      <c r="U77" s="393"/>
      <c r="V77" s="393"/>
      <c r="W77" s="558"/>
      <c r="X77" s="558"/>
      <c r="Y77" s="558"/>
      <c r="Z77" s="558"/>
      <c r="AA77" s="558"/>
      <c r="AB77" s="558"/>
      <c r="AC77" s="558"/>
      <c r="AD77" s="558"/>
      <c r="AE77" s="558"/>
      <c r="AF77" s="558"/>
      <c r="AG77" s="558"/>
      <c r="AH77" s="558"/>
      <c r="AI77" s="558"/>
      <c r="AJ77" s="558"/>
      <c r="AK77" s="558"/>
      <c r="AL77" s="558"/>
      <c r="AM77" s="558"/>
      <c r="AN77" s="558"/>
      <c r="AO77" s="558"/>
    </row>
    <row r="78" spans="1:41" ht="15.75">
      <c r="A78" s="394"/>
      <c r="B78" s="393"/>
      <c r="E78" s="557"/>
      <c r="F78" s="557"/>
      <c r="G78" s="557"/>
      <c r="H78" s="557"/>
      <c r="I78" s="557"/>
      <c r="J78" s="557"/>
      <c r="K78" s="557"/>
      <c r="L78" s="393"/>
      <c r="M78" s="557"/>
      <c r="N78" s="557"/>
      <c r="O78" s="557"/>
      <c r="P78" s="557"/>
      <c r="Q78" s="557"/>
      <c r="R78" s="393"/>
      <c r="S78" s="393"/>
      <c r="T78" s="393"/>
      <c r="U78" s="393"/>
      <c r="V78" s="393"/>
      <c r="W78" s="558"/>
      <c r="X78" s="558"/>
      <c r="Y78" s="558"/>
      <c r="Z78" s="558"/>
      <c r="AA78" s="558"/>
      <c r="AB78" s="558"/>
      <c r="AC78" s="558"/>
      <c r="AD78" s="558"/>
      <c r="AE78" s="558"/>
      <c r="AF78" s="558"/>
      <c r="AG78" s="558"/>
      <c r="AH78" s="558"/>
      <c r="AI78" s="558"/>
      <c r="AJ78" s="558"/>
      <c r="AK78" s="558"/>
      <c r="AL78" s="558"/>
      <c r="AM78" s="558"/>
      <c r="AN78" s="558"/>
      <c r="AO78" s="558"/>
    </row>
    <row r="79" spans="1:41" ht="15.75">
      <c r="A79" s="394"/>
      <c r="B79" s="393"/>
      <c r="E79" s="557"/>
      <c r="F79" s="557"/>
      <c r="G79" s="557"/>
      <c r="H79" s="557"/>
      <c r="I79" s="557"/>
      <c r="J79" s="557"/>
      <c r="K79" s="557"/>
      <c r="L79" s="393"/>
      <c r="M79" s="557"/>
      <c r="N79" s="557"/>
      <c r="O79" s="557"/>
      <c r="P79" s="557"/>
      <c r="Q79" s="557"/>
      <c r="R79" s="393"/>
      <c r="S79" s="393"/>
      <c r="T79" s="393"/>
      <c r="U79" s="393"/>
      <c r="V79" s="393"/>
      <c r="W79" s="558"/>
      <c r="X79" s="558"/>
      <c r="Y79" s="558"/>
      <c r="Z79" s="558"/>
      <c r="AA79" s="558"/>
      <c r="AB79" s="558"/>
      <c r="AC79" s="558"/>
      <c r="AD79" s="558"/>
      <c r="AE79" s="558"/>
      <c r="AF79" s="558"/>
      <c r="AG79" s="558"/>
      <c r="AH79" s="558"/>
      <c r="AI79" s="558"/>
      <c r="AJ79" s="558"/>
      <c r="AK79" s="558"/>
      <c r="AL79" s="558"/>
      <c r="AM79" s="558"/>
      <c r="AN79" s="558"/>
      <c r="AO79" s="558"/>
    </row>
    <row r="80" spans="1:41" ht="15.75">
      <c r="A80" s="394"/>
      <c r="B80" s="393"/>
      <c r="E80" s="557"/>
      <c r="F80" s="557"/>
      <c r="G80" s="557"/>
      <c r="H80" s="557"/>
      <c r="I80" s="557"/>
      <c r="J80" s="557"/>
      <c r="K80" s="557"/>
      <c r="L80" s="393"/>
      <c r="M80" s="557"/>
      <c r="N80" s="557"/>
      <c r="O80" s="557"/>
      <c r="P80" s="557"/>
      <c r="Q80" s="557"/>
      <c r="R80" s="393"/>
      <c r="S80" s="393"/>
      <c r="T80" s="393"/>
      <c r="U80" s="393"/>
      <c r="V80" s="393"/>
      <c r="W80" s="558"/>
      <c r="X80" s="558"/>
      <c r="Y80" s="558"/>
      <c r="Z80" s="558"/>
      <c r="AA80" s="558"/>
      <c r="AB80" s="558"/>
      <c r="AC80" s="558"/>
      <c r="AD80" s="558"/>
      <c r="AE80" s="558"/>
      <c r="AF80" s="558"/>
      <c r="AG80" s="558"/>
      <c r="AH80" s="558"/>
      <c r="AI80" s="558"/>
      <c r="AJ80" s="558"/>
      <c r="AK80" s="558"/>
      <c r="AL80" s="558"/>
      <c r="AM80" s="558"/>
      <c r="AN80" s="558"/>
      <c r="AO80" s="558"/>
    </row>
    <row r="81" spans="1:41" ht="15.75">
      <c r="A81" s="394"/>
      <c r="B81" s="393"/>
      <c r="E81" s="557"/>
      <c r="F81" s="557"/>
      <c r="G81" s="557"/>
      <c r="H81" s="557"/>
      <c r="I81" s="557"/>
      <c r="J81" s="557"/>
      <c r="K81" s="557"/>
      <c r="L81" s="393"/>
      <c r="M81" s="557"/>
      <c r="N81" s="557"/>
      <c r="O81" s="557"/>
      <c r="P81" s="557"/>
      <c r="Q81" s="557"/>
      <c r="R81" s="393"/>
      <c r="S81" s="393"/>
      <c r="T81" s="393"/>
      <c r="U81" s="393"/>
      <c r="V81" s="393"/>
      <c r="W81" s="558"/>
      <c r="X81" s="558"/>
      <c r="Y81" s="558"/>
      <c r="Z81" s="558"/>
      <c r="AA81" s="558"/>
      <c r="AB81" s="558"/>
      <c r="AC81" s="558"/>
      <c r="AD81" s="558"/>
      <c r="AE81" s="558"/>
      <c r="AF81" s="558"/>
      <c r="AG81" s="558"/>
      <c r="AH81" s="558"/>
      <c r="AI81" s="558"/>
      <c r="AJ81" s="558"/>
      <c r="AK81" s="558"/>
      <c r="AL81" s="558"/>
      <c r="AM81" s="558"/>
      <c r="AN81" s="558"/>
      <c r="AO81" s="558"/>
    </row>
    <row r="82" spans="1:41" ht="15.75">
      <c r="A82" s="394"/>
      <c r="B82" s="393"/>
      <c r="E82" s="557"/>
      <c r="F82" s="557"/>
      <c r="G82" s="557"/>
      <c r="H82" s="557"/>
      <c r="I82" s="557"/>
      <c r="J82" s="557"/>
      <c r="K82" s="557"/>
      <c r="L82" s="393"/>
      <c r="M82" s="557"/>
      <c r="N82" s="557"/>
      <c r="O82" s="557"/>
      <c r="P82" s="557"/>
      <c r="Q82" s="557"/>
      <c r="R82" s="393"/>
      <c r="S82" s="393"/>
      <c r="T82" s="393"/>
      <c r="U82" s="393"/>
      <c r="V82" s="393"/>
      <c r="W82" s="558"/>
      <c r="X82" s="558"/>
      <c r="Y82" s="558"/>
      <c r="Z82" s="558"/>
      <c r="AA82" s="558"/>
      <c r="AB82" s="558"/>
      <c r="AC82" s="558"/>
      <c r="AD82" s="558"/>
      <c r="AE82" s="558"/>
      <c r="AF82" s="558"/>
      <c r="AG82" s="558"/>
      <c r="AH82" s="558"/>
      <c r="AI82" s="558"/>
      <c r="AJ82" s="558"/>
      <c r="AK82" s="558"/>
      <c r="AL82" s="558"/>
      <c r="AM82" s="558"/>
      <c r="AN82" s="558"/>
      <c r="AO82" s="558"/>
    </row>
    <row r="83" spans="1:41" ht="15.75">
      <c r="A83" s="394"/>
      <c r="B83" s="393"/>
      <c r="E83" s="557"/>
      <c r="F83" s="557"/>
      <c r="G83" s="557"/>
      <c r="H83" s="557"/>
      <c r="I83" s="557"/>
      <c r="J83" s="557"/>
      <c r="K83" s="557"/>
      <c r="L83" s="393"/>
      <c r="M83" s="557"/>
      <c r="N83" s="557"/>
      <c r="O83" s="557"/>
      <c r="P83" s="557"/>
      <c r="Q83" s="557"/>
      <c r="R83" s="393"/>
      <c r="S83" s="393"/>
      <c r="T83" s="393"/>
      <c r="U83" s="393"/>
      <c r="V83" s="393"/>
      <c r="W83" s="558"/>
      <c r="X83" s="558"/>
      <c r="Y83" s="558"/>
      <c r="Z83" s="558"/>
      <c r="AA83" s="558"/>
      <c r="AB83" s="558"/>
      <c r="AC83" s="558"/>
      <c r="AD83" s="558"/>
      <c r="AE83" s="558"/>
      <c r="AF83" s="558"/>
      <c r="AG83" s="558"/>
      <c r="AH83" s="558"/>
      <c r="AI83" s="558"/>
      <c r="AJ83" s="558"/>
      <c r="AK83" s="558"/>
      <c r="AL83" s="558"/>
      <c r="AM83" s="558"/>
      <c r="AN83" s="558"/>
      <c r="AO83" s="558"/>
    </row>
    <row r="84" spans="1:41" ht="15.75">
      <c r="A84" s="394"/>
      <c r="B84" s="393"/>
      <c r="E84" s="557"/>
      <c r="F84" s="557"/>
      <c r="G84" s="557"/>
      <c r="H84" s="557"/>
      <c r="I84" s="557"/>
      <c r="J84" s="557"/>
      <c r="K84" s="557"/>
      <c r="L84" s="393"/>
      <c r="M84" s="557"/>
      <c r="N84" s="557"/>
      <c r="O84" s="557"/>
      <c r="P84" s="557"/>
      <c r="Q84" s="557"/>
      <c r="R84" s="393"/>
      <c r="S84" s="393"/>
      <c r="T84" s="393"/>
      <c r="U84" s="393"/>
      <c r="V84" s="393"/>
      <c r="W84" s="558"/>
      <c r="X84" s="558"/>
      <c r="Y84" s="558"/>
      <c r="Z84" s="558"/>
      <c r="AA84" s="558"/>
      <c r="AB84" s="558"/>
      <c r="AC84" s="558"/>
      <c r="AD84" s="558"/>
      <c r="AE84" s="558"/>
      <c r="AF84" s="558"/>
      <c r="AG84" s="558"/>
      <c r="AH84" s="558"/>
      <c r="AI84" s="558"/>
      <c r="AJ84" s="558"/>
      <c r="AK84" s="558"/>
      <c r="AL84" s="558"/>
      <c r="AM84" s="558"/>
      <c r="AN84" s="558"/>
      <c r="AO84" s="558"/>
    </row>
    <row r="85" spans="1:41" ht="15.75">
      <c r="A85" s="394"/>
      <c r="B85" s="393"/>
      <c r="E85" s="557"/>
      <c r="F85" s="557"/>
      <c r="G85" s="557"/>
      <c r="H85" s="557"/>
      <c r="I85" s="557"/>
      <c r="J85" s="557"/>
      <c r="K85" s="557"/>
      <c r="L85" s="393"/>
      <c r="M85" s="557"/>
      <c r="N85" s="557"/>
      <c r="O85" s="557"/>
      <c r="P85" s="557"/>
      <c r="Q85" s="557"/>
      <c r="R85" s="393"/>
      <c r="S85" s="393"/>
      <c r="T85" s="393"/>
      <c r="U85" s="393"/>
      <c r="V85" s="393"/>
      <c r="W85" s="558"/>
      <c r="X85" s="558"/>
      <c r="Y85" s="558"/>
      <c r="Z85" s="558"/>
      <c r="AA85" s="558"/>
      <c r="AB85" s="558"/>
      <c r="AC85" s="558"/>
      <c r="AD85" s="558"/>
      <c r="AE85" s="558"/>
      <c r="AF85" s="558"/>
      <c r="AG85" s="558"/>
      <c r="AH85" s="558"/>
      <c r="AI85" s="558"/>
      <c r="AJ85" s="558"/>
      <c r="AK85" s="558"/>
      <c r="AL85" s="558"/>
      <c r="AM85" s="558"/>
      <c r="AN85" s="558"/>
      <c r="AO85" s="558"/>
    </row>
    <row r="86" spans="1:41" ht="15.75">
      <c r="A86" s="394"/>
      <c r="B86" s="393"/>
      <c r="E86" s="557"/>
      <c r="F86" s="557"/>
      <c r="G86" s="557"/>
      <c r="H86" s="557"/>
      <c r="I86" s="557"/>
      <c r="J86" s="557"/>
      <c r="K86" s="557"/>
      <c r="L86" s="393"/>
      <c r="M86" s="557"/>
      <c r="N86" s="557"/>
      <c r="O86" s="557"/>
      <c r="P86" s="557"/>
      <c r="Q86" s="557"/>
      <c r="R86" s="393"/>
      <c r="S86" s="393"/>
      <c r="T86" s="393"/>
      <c r="U86" s="393"/>
      <c r="V86" s="393"/>
      <c r="W86" s="558"/>
      <c r="X86" s="558"/>
      <c r="Y86" s="558"/>
      <c r="Z86" s="558"/>
      <c r="AA86" s="558"/>
      <c r="AB86" s="558"/>
      <c r="AC86" s="558"/>
      <c r="AD86" s="558"/>
      <c r="AE86" s="558"/>
      <c r="AF86" s="558"/>
      <c r="AG86" s="558"/>
      <c r="AH86" s="558"/>
      <c r="AI86" s="558"/>
      <c r="AJ86" s="558"/>
      <c r="AK86" s="558"/>
      <c r="AL86" s="558"/>
      <c r="AM86" s="558"/>
      <c r="AN86" s="558"/>
      <c r="AO86" s="558"/>
    </row>
    <row r="87" spans="1:41" ht="15.75">
      <c r="A87" s="394"/>
      <c r="B87" s="393"/>
      <c r="E87" s="557"/>
      <c r="F87" s="557"/>
      <c r="G87" s="557"/>
      <c r="H87" s="557"/>
      <c r="I87" s="557"/>
      <c r="J87" s="557"/>
      <c r="K87" s="557"/>
      <c r="L87" s="393"/>
      <c r="M87" s="557"/>
      <c r="N87" s="557"/>
      <c r="O87" s="557"/>
      <c r="P87" s="557"/>
      <c r="Q87" s="557"/>
      <c r="R87" s="393"/>
      <c r="S87" s="393"/>
      <c r="T87" s="393"/>
      <c r="U87" s="393"/>
      <c r="V87" s="393"/>
      <c r="W87" s="558"/>
      <c r="X87" s="558"/>
      <c r="Y87" s="558"/>
      <c r="Z87" s="558"/>
      <c r="AA87" s="558"/>
      <c r="AB87" s="558"/>
      <c r="AC87" s="558"/>
      <c r="AD87" s="558"/>
      <c r="AE87" s="558"/>
      <c r="AF87" s="558"/>
      <c r="AG87" s="558"/>
      <c r="AH87" s="558"/>
      <c r="AI87" s="558"/>
      <c r="AJ87" s="558"/>
      <c r="AK87" s="558"/>
      <c r="AL87" s="558"/>
      <c r="AM87" s="558"/>
      <c r="AN87" s="558"/>
      <c r="AO87" s="558"/>
    </row>
    <row r="88" spans="1:41" ht="15.75">
      <c r="A88" s="394"/>
      <c r="B88" s="393"/>
      <c r="E88" s="557"/>
      <c r="F88" s="557"/>
      <c r="G88" s="557"/>
      <c r="H88" s="557"/>
      <c r="I88" s="557"/>
      <c r="J88" s="557"/>
      <c r="K88" s="557"/>
      <c r="L88" s="393"/>
      <c r="M88" s="557"/>
      <c r="N88" s="557"/>
      <c r="O88" s="557"/>
      <c r="P88" s="557"/>
      <c r="Q88" s="557"/>
      <c r="R88" s="393"/>
      <c r="S88" s="393"/>
      <c r="T88" s="393"/>
      <c r="U88" s="393"/>
      <c r="V88" s="393"/>
      <c r="W88" s="558"/>
      <c r="X88" s="558"/>
      <c r="Y88" s="558"/>
      <c r="Z88" s="558"/>
      <c r="AA88" s="558"/>
      <c r="AB88" s="558"/>
      <c r="AC88" s="558"/>
      <c r="AD88" s="558"/>
      <c r="AE88" s="558"/>
      <c r="AF88" s="558"/>
      <c r="AG88" s="558"/>
      <c r="AH88" s="558"/>
      <c r="AI88" s="558"/>
      <c r="AJ88" s="558"/>
      <c r="AK88" s="558"/>
      <c r="AL88" s="558"/>
      <c r="AM88" s="558"/>
      <c r="AN88" s="558"/>
      <c r="AO88" s="558"/>
    </row>
    <row r="89" spans="1:41" ht="15.75">
      <c r="A89" s="394"/>
      <c r="B89" s="393"/>
      <c r="E89" s="557"/>
      <c r="F89" s="557"/>
      <c r="G89" s="557"/>
      <c r="H89" s="557"/>
      <c r="I89" s="557"/>
      <c r="J89" s="557"/>
      <c r="K89" s="557"/>
      <c r="L89" s="393"/>
      <c r="M89" s="557"/>
      <c r="N89" s="557"/>
      <c r="O89" s="557"/>
      <c r="P89" s="557"/>
      <c r="Q89" s="557"/>
      <c r="R89" s="393"/>
      <c r="S89" s="393"/>
      <c r="T89" s="393"/>
      <c r="U89" s="393"/>
      <c r="V89" s="393"/>
      <c r="W89" s="558"/>
      <c r="X89" s="558"/>
      <c r="Y89" s="558"/>
      <c r="Z89" s="558"/>
      <c r="AA89" s="558"/>
      <c r="AB89" s="558"/>
      <c r="AC89" s="558"/>
      <c r="AD89" s="558"/>
      <c r="AE89" s="558"/>
      <c r="AF89" s="558"/>
      <c r="AG89" s="558"/>
      <c r="AH89" s="558"/>
      <c r="AI89" s="558"/>
      <c r="AJ89" s="558"/>
      <c r="AK89" s="558"/>
      <c r="AL89" s="558"/>
      <c r="AM89" s="558"/>
      <c r="AN89" s="558"/>
      <c r="AO89" s="558"/>
    </row>
    <row r="90" spans="1:41" ht="15.75">
      <c r="A90" s="394"/>
      <c r="B90" s="393"/>
      <c r="E90" s="557"/>
      <c r="F90" s="557"/>
      <c r="G90" s="557"/>
      <c r="H90" s="557"/>
      <c r="I90" s="557"/>
      <c r="J90" s="557"/>
      <c r="K90" s="557"/>
      <c r="L90" s="393"/>
      <c r="M90" s="557"/>
      <c r="N90" s="557"/>
      <c r="O90" s="557"/>
      <c r="P90" s="557"/>
      <c r="Q90" s="557"/>
      <c r="R90" s="393"/>
      <c r="S90" s="393"/>
      <c r="T90" s="393"/>
      <c r="U90" s="393"/>
      <c r="V90" s="393"/>
      <c r="W90" s="558"/>
      <c r="X90" s="558"/>
      <c r="Y90" s="558"/>
      <c r="Z90" s="558"/>
      <c r="AA90" s="558"/>
      <c r="AB90" s="558"/>
      <c r="AC90" s="558"/>
      <c r="AD90" s="558"/>
      <c r="AE90" s="558"/>
      <c r="AF90" s="558"/>
      <c r="AG90" s="558"/>
      <c r="AH90" s="558"/>
      <c r="AI90" s="558"/>
      <c r="AJ90" s="558"/>
      <c r="AK90" s="558"/>
      <c r="AL90" s="558"/>
      <c r="AM90" s="558"/>
      <c r="AN90" s="558"/>
      <c r="AO90" s="558"/>
    </row>
    <row r="91" spans="1:41" ht="15.75">
      <c r="A91" s="394"/>
      <c r="B91" s="393"/>
      <c r="E91" s="557"/>
      <c r="F91" s="557"/>
      <c r="G91" s="557"/>
      <c r="H91" s="557"/>
      <c r="I91" s="557"/>
      <c r="J91" s="557"/>
      <c r="K91" s="557"/>
      <c r="L91" s="393"/>
      <c r="M91" s="557"/>
      <c r="N91" s="557"/>
      <c r="O91" s="557"/>
      <c r="P91" s="557"/>
      <c r="Q91" s="557"/>
      <c r="R91" s="393"/>
      <c r="S91" s="393"/>
      <c r="T91" s="393"/>
      <c r="U91" s="393"/>
      <c r="V91" s="393"/>
      <c r="W91" s="558"/>
      <c r="X91" s="558"/>
      <c r="Y91" s="558"/>
      <c r="Z91" s="558"/>
      <c r="AA91" s="558"/>
      <c r="AB91" s="558"/>
      <c r="AC91" s="558"/>
      <c r="AD91" s="558"/>
      <c r="AE91" s="558"/>
      <c r="AF91" s="558"/>
      <c r="AG91" s="558"/>
      <c r="AH91" s="558"/>
      <c r="AI91" s="558"/>
      <c r="AJ91" s="558"/>
      <c r="AK91" s="558"/>
      <c r="AL91" s="558"/>
      <c r="AM91" s="558"/>
      <c r="AN91" s="558"/>
      <c r="AO91" s="558"/>
    </row>
    <row r="92" spans="1:41" ht="15.75">
      <c r="A92" s="394"/>
      <c r="B92" s="393"/>
      <c r="E92" s="557"/>
      <c r="F92" s="557"/>
      <c r="G92" s="557"/>
      <c r="H92" s="557"/>
      <c r="I92" s="557"/>
      <c r="J92" s="557"/>
      <c r="K92" s="557"/>
      <c r="L92" s="393"/>
      <c r="M92" s="557"/>
      <c r="N92" s="557"/>
      <c r="O92" s="557"/>
      <c r="P92" s="557"/>
      <c r="Q92" s="557"/>
      <c r="R92" s="393"/>
      <c r="S92" s="393"/>
      <c r="T92" s="393"/>
      <c r="U92" s="393"/>
      <c r="V92" s="393"/>
      <c r="W92" s="558"/>
      <c r="X92" s="558"/>
      <c r="Y92" s="558"/>
      <c r="Z92" s="558"/>
      <c r="AA92" s="558"/>
      <c r="AB92" s="558"/>
      <c r="AC92" s="558"/>
      <c r="AD92" s="558"/>
      <c r="AE92" s="558"/>
      <c r="AF92" s="558"/>
      <c r="AG92" s="558"/>
      <c r="AH92" s="558"/>
      <c r="AI92" s="558"/>
      <c r="AJ92" s="558"/>
      <c r="AK92" s="558"/>
      <c r="AL92" s="558"/>
      <c r="AM92" s="558"/>
      <c r="AN92" s="558"/>
      <c r="AO92" s="558"/>
    </row>
    <row r="93" spans="1:41" ht="15.75">
      <c r="A93" s="394"/>
      <c r="B93" s="393"/>
      <c r="E93" s="557"/>
      <c r="F93" s="557"/>
      <c r="G93" s="557"/>
      <c r="H93" s="557"/>
      <c r="I93" s="557"/>
      <c r="J93" s="557"/>
      <c r="K93" s="557"/>
      <c r="L93" s="393"/>
      <c r="M93" s="557"/>
      <c r="N93" s="557"/>
      <c r="O93" s="557"/>
      <c r="P93" s="557"/>
      <c r="Q93" s="557"/>
      <c r="R93" s="393"/>
      <c r="S93" s="393"/>
      <c r="T93" s="393"/>
      <c r="U93" s="393"/>
      <c r="V93" s="393"/>
      <c r="W93" s="558"/>
      <c r="X93" s="558"/>
      <c r="Y93" s="558"/>
      <c r="Z93" s="558"/>
      <c r="AA93" s="558"/>
      <c r="AB93" s="558"/>
      <c r="AC93" s="558"/>
      <c r="AD93" s="558"/>
      <c r="AE93" s="558"/>
      <c r="AF93" s="558"/>
      <c r="AG93" s="558"/>
      <c r="AH93" s="558"/>
      <c r="AI93" s="558"/>
      <c r="AJ93" s="558"/>
      <c r="AK93" s="558"/>
      <c r="AL93" s="558"/>
      <c r="AM93" s="558"/>
      <c r="AN93" s="558"/>
      <c r="AO93" s="558"/>
    </row>
    <row r="94" spans="1:41" ht="15.75">
      <c r="A94" s="394"/>
      <c r="B94" s="393"/>
      <c r="E94" s="557"/>
      <c r="F94" s="557"/>
      <c r="G94" s="557"/>
      <c r="H94" s="557"/>
      <c r="I94" s="557"/>
      <c r="J94" s="557"/>
      <c r="K94" s="557"/>
      <c r="L94" s="393"/>
      <c r="M94" s="557"/>
      <c r="N94" s="557"/>
      <c r="O94" s="557"/>
      <c r="P94" s="557"/>
      <c r="Q94" s="557"/>
      <c r="R94" s="393"/>
      <c r="S94" s="393"/>
      <c r="T94" s="393"/>
      <c r="U94" s="393"/>
      <c r="V94" s="393"/>
      <c r="W94" s="558"/>
      <c r="X94" s="558"/>
      <c r="Y94" s="558"/>
      <c r="Z94" s="558"/>
      <c r="AA94" s="558"/>
      <c r="AB94" s="558"/>
      <c r="AC94" s="558"/>
      <c r="AD94" s="558"/>
      <c r="AE94" s="558"/>
      <c r="AF94" s="558"/>
      <c r="AG94" s="558"/>
      <c r="AH94" s="558"/>
      <c r="AI94" s="558"/>
      <c r="AJ94" s="558"/>
      <c r="AK94" s="558"/>
      <c r="AL94" s="558"/>
      <c r="AM94" s="558"/>
      <c r="AN94" s="558"/>
      <c r="AO94" s="558"/>
    </row>
    <row r="95" spans="1:41" ht="15.75">
      <c r="A95" s="394"/>
      <c r="B95" s="393"/>
      <c r="E95" s="557"/>
      <c r="F95" s="557"/>
      <c r="G95" s="557"/>
      <c r="H95" s="557"/>
      <c r="I95" s="557"/>
      <c r="J95" s="557"/>
      <c r="K95" s="557"/>
      <c r="L95" s="393"/>
      <c r="M95" s="557"/>
      <c r="N95" s="557"/>
      <c r="O95" s="557"/>
      <c r="P95" s="557"/>
      <c r="Q95" s="557"/>
      <c r="R95" s="393"/>
      <c r="S95" s="393"/>
      <c r="T95" s="393"/>
      <c r="U95" s="393"/>
      <c r="V95" s="393"/>
      <c r="W95" s="558"/>
      <c r="X95" s="558"/>
      <c r="Y95" s="558"/>
      <c r="Z95" s="558"/>
      <c r="AA95" s="558"/>
      <c r="AB95" s="558"/>
      <c r="AC95" s="558"/>
      <c r="AD95" s="558"/>
      <c r="AE95" s="558"/>
      <c r="AF95" s="558"/>
      <c r="AG95" s="558"/>
      <c r="AH95" s="558"/>
      <c r="AI95" s="558"/>
      <c r="AJ95" s="558"/>
      <c r="AK95" s="558"/>
      <c r="AL95" s="558"/>
      <c r="AM95" s="558"/>
      <c r="AN95" s="558"/>
      <c r="AO95" s="558"/>
    </row>
    <row r="96" spans="1:41" ht="15.75">
      <c r="A96" s="394"/>
      <c r="B96" s="393"/>
      <c r="E96" s="557"/>
      <c r="F96" s="557"/>
      <c r="G96" s="557"/>
      <c r="H96" s="557"/>
      <c r="I96" s="557"/>
      <c r="J96" s="557"/>
      <c r="K96" s="557"/>
      <c r="L96" s="393"/>
      <c r="M96" s="557"/>
      <c r="N96" s="557"/>
      <c r="O96" s="557"/>
      <c r="P96" s="557"/>
      <c r="Q96" s="557"/>
      <c r="R96" s="393"/>
      <c r="S96" s="393"/>
      <c r="T96" s="393"/>
      <c r="U96" s="393"/>
      <c r="V96" s="393"/>
      <c r="W96" s="558"/>
      <c r="X96" s="558"/>
      <c r="Y96" s="558"/>
      <c r="Z96" s="558"/>
      <c r="AA96" s="558"/>
      <c r="AB96" s="558"/>
      <c r="AC96" s="558"/>
      <c r="AD96" s="558"/>
      <c r="AE96" s="558"/>
      <c r="AF96" s="558"/>
      <c r="AG96" s="558"/>
      <c r="AH96" s="558"/>
      <c r="AI96" s="558"/>
      <c r="AJ96" s="558"/>
      <c r="AK96" s="558"/>
      <c r="AL96" s="558"/>
      <c r="AM96" s="558"/>
      <c r="AN96" s="558"/>
      <c r="AO96" s="558"/>
    </row>
    <row r="97" spans="1:41" ht="15.75">
      <c r="A97" s="394"/>
      <c r="B97" s="393"/>
      <c r="E97" s="557"/>
      <c r="F97" s="557"/>
      <c r="G97" s="557"/>
      <c r="H97" s="557"/>
      <c r="I97" s="557"/>
      <c r="J97" s="557"/>
      <c r="K97" s="557"/>
      <c r="L97" s="393"/>
      <c r="M97" s="557"/>
      <c r="N97" s="557"/>
      <c r="O97" s="557"/>
      <c r="P97" s="557"/>
      <c r="Q97" s="557"/>
      <c r="R97" s="393"/>
      <c r="S97" s="393"/>
      <c r="T97" s="393"/>
      <c r="U97" s="393"/>
      <c r="V97" s="393"/>
      <c r="W97" s="558"/>
      <c r="X97" s="558"/>
      <c r="Y97" s="558"/>
      <c r="Z97" s="558"/>
      <c r="AA97" s="558"/>
      <c r="AB97" s="558"/>
      <c r="AC97" s="558"/>
      <c r="AD97" s="558"/>
      <c r="AE97" s="558"/>
      <c r="AF97" s="558"/>
      <c r="AG97" s="558"/>
      <c r="AH97" s="558"/>
      <c r="AI97" s="558"/>
      <c r="AJ97" s="558"/>
      <c r="AK97" s="558"/>
      <c r="AL97" s="558"/>
      <c r="AM97" s="558"/>
      <c r="AN97" s="558"/>
      <c r="AO97" s="558"/>
    </row>
    <row r="98" spans="1:41" ht="15.75">
      <c r="A98" s="394"/>
      <c r="B98" s="393"/>
      <c r="E98" s="557"/>
      <c r="F98" s="557"/>
      <c r="G98" s="557"/>
      <c r="H98" s="557"/>
      <c r="I98" s="557"/>
      <c r="J98" s="557"/>
      <c r="K98" s="557"/>
      <c r="L98" s="393"/>
      <c r="M98" s="557"/>
      <c r="N98" s="557"/>
      <c r="O98" s="557"/>
      <c r="P98" s="557"/>
      <c r="Q98" s="557"/>
      <c r="R98" s="393"/>
      <c r="S98" s="393"/>
      <c r="T98" s="393"/>
      <c r="U98" s="393"/>
      <c r="V98" s="393"/>
      <c r="W98" s="558"/>
      <c r="X98" s="558"/>
      <c r="Y98" s="558"/>
      <c r="Z98" s="558"/>
      <c r="AA98" s="558"/>
      <c r="AB98" s="558"/>
      <c r="AC98" s="558"/>
      <c r="AD98" s="558"/>
      <c r="AE98" s="558"/>
      <c r="AF98" s="558"/>
      <c r="AG98" s="558"/>
      <c r="AH98" s="558"/>
      <c r="AI98" s="558"/>
      <c r="AJ98" s="558"/>
      <c r="AK98" s="558"/>
      <c r="AL98" s="558"/>
      <c r="AM98" s="558"/>
      <c r="AN98" s="558"/>
      <c r="AO98" s="558"/>
    </row>
    <row r="99" spans="1:41" ht="15.75">
      <c r="A99" s="394"/>
      <c r="B99" s="393"/>
      <c r="E99" s="557"/>
      <c r="F99" s="557"/>
      <c r="G99" s="557"/>
      <c r="H99" s="557"/>
      <c r="I99" s="557"/>
      <c r="J99" s="557"/>
      <c r="K99" s="557"/>
      <c r="L99" s="393"/>
      <c r="M99" s="557"/>
      <c r="N99" s="557"/>
      <c r="O99" s="557"/>
      <c r="P99" s="557"/>
      <c r="Q99" s="557"/>
      <c r="R99" s="393"/>
      <c r="S99" s="393"/>
      <c r="T99" s="393"/>
      <c r="U99" s="393"/>
      <c r="V99" s="393"/>
      <c r="W99" s="558"/>
      <c r="X99" s="558"/>
      <c r="Y99" s="558"/>
      <c r="Z99" s="558"/>
      <c r="AA99" s="558"/>
      <c r="AB99" s="558"/>
      <c r="AC99" s="558"/>
      <c r="AD99" s="558"/>
      <c r="AE99" s="558"/>
      <c r="AF99" s="558"/>
      <c r="AG99" s="558"/>
      <c r="AH99" s="558"/>
      <c r="AI99" s="558"/>
      <c r="AJ99" s="558"/>
      <c r="AK99" s="558"/>
      <c r="AL99" s="558"/>
      <c r="AM99" s="558"/>
      <c r="AN99" s="558"/>
      <c r="AO99" s="558"/>
    </row>
    <row r="100" spans="1:41">
      <c r="A100" s="525"/>
      <c r="B100" s="525"/>
      <c r="C100" s="525"/>
      <c r="D100" s="525"/>
      <c r="E100" s="525"/>
      <c r="F100" s="525"/>
      <c r="G100" s="525"/>
      <c r="H100" s="525"/>
      <c r="I100" s="525"/>
      <c r="J100" s="525"/>
      <c r="K100" s="525"/>
      <c r="L100" s="525"/>
      <c r="M100" s="525"/>
      <c r="N100" s="525"/>
      <c r="O100" s="525"/>
      <c r="P100" s="525"/>
      <c r="Q100" s="525"/>
      <c r="R100" s="525"/>
      <c r="S100" s="525"/>
      <c r="T100" s="525"/>
      <c r="U100" s="525"/>
      <c r="V100" s="525"/>
      <c r="W100" s="558"/>
      <c r="X100" s="558"/>
      <c r="Y100" s="558"/>
      <c r="Z100" s="558"/>
      <c r="AA100" s="558"/>
      <c r="AB100" s="558"/>
      <c r="AC100" s="558"/>
      <c r="AD100" s="558"/>
      <c r="AE100" s="558"/>
      <c r="AF100" s="558"/>
      <c r="AG100" s="558"/>
      <c r="AH100" s="558"/>
      <c r="AI100" s="558"/>
      <c r="AJ100" s="558"/>
      <c r="AK100" s="558"/>
      <c r="AL100" s="558"/>
      <c r="AM100" s="558"/>
      <c r="AN100" s="558"/>
      <c r="AO100" s="558"/>
    </row>
    <row r="101" spans="1:41">
      <c r="A101" s="525"/>
      <c r="B101" s="525"/>
      <c r="C101" s="525"/>
      <c r="D101" s="525"/>
      <c r="E101" s="525"/>
      <c r="F101" s="525"/>
      <c r="G101" s="525"/>
      <c r="H101" s="525"/>
      <c r="I101" s="525"/>
      <c r="J101" s="525"/>
      <c r="K101" s="525"/>
      <c r="L101" s="525"/>
      <c r="M101" s="525"/>
      <c r="N101" s="525"/>
      <c r="O101" s="525"/>
      <c r="P101" s="525"/>
      <c r="Q101" s="525"/>
      <c r="R101" s="525"/>
      <c r="S101" s="525"/>
      <c r="T101" s="525"/>
      <c r="U101" s="525"/>
      <c r="V101" s="525"/>
      <c r="W101" s="558"/>
      <c r="X101" s="558"/>
      <c r="Y101" s="558"/>
      <c r="Z101" s="558"/>
      <c r="AA101" s="558"/>
      <c r="AB101" s="558"/>
      <c r="AC101" s="558"/>
      <c r="AD101" s="558"/>
      <c r="AE101" s="558"/>
      <c r="AF101" s="558"/>
      <c r="AG101" s="558"/>
      <c r="AH101" s="558"/>
      <c r="AI101" s="558"/>
      <c r="AJ101" s="558"/>
      <c r="AK101" s="558"/>
      <c r="AL101" s="558"/>
      <c r="AM101" s="558"/>
      <c r="AN101" s="558"/>
      <c r="AO101" s="558"/>
    </row>
    <row r="102" spans="1:41">
      <c r="A102" s="525"/>
      <c r="B102" s="525"/>
      <c r="C102" s="525"/>
      <c r="D102" s="525"/>
      <c r="E102" s="525"/>
      <c r="F102" s="525"/>
      <c r="G102" s="525"/>
      <c r="H102" s="525"/>
      <c r="I102" s="525"/>
      <c r="J102" s="525"/>
      <c r="K102" s="525"/>
      <c r="L102" s="525"/>
      <c r="M102" s="525"/>
      <c r="N102" s="525"/>
      <c r="O102" s="525"/>
      <c r="P102" s="525"/>
      <c r="Q102" s="525"/>
      <c r="R102" s="525"/>
      <c r="S102" s="525"/>
      <c r="T102" s="525"/>
      <c r="U102" s="525"/>
      <c r="V102" s="525"/>
      <c r="W102" s="558"/>
      <c r="X102" s="558"/>
      <c r="Y102" s="558"/>
      <c r="Z102" s="558"/>
      <c r="AA102" s="558"/>
      <c r="AB102" s="558"/>
      <c r="AC102" s="558"/>
      <c r="AD102" s="558"/>
      <c r="AE102" s="558"/>
      <c r="AF102" s="558"/>
      <c r="AG102" s="558"/>
      <c r="AH102" s="558"/>
      <c r="AI102" s="558"/>
      <c r="AJ102" s="558"/>
      <c r="AK102" s="558"/>
      <c r="AL102" s="558"/>
      <c r="AM102" s="558"/>
      <c r="AN102" s="558"/>
      <c r="AO102" s="558"/>
    </row>
    <row r="103" spans="1:41">
      <c r="A103" s="525"/>
      <c r="B103" s="525"/>
      <c r="C103" s="525"/>
      <c r="D103" s="525"/>
      <c r="E103" s="525"/>
      <c r="F103" s="525"/>
      <c r="G103" s="525"/>
      <c r="H103" s="525"/>
      <c r="I103" s="525"/>
      <c r="J103" s="525"/>
      <c r="K103" s="525"/>
      <c r="L103" s="525"/>
      <c r="M103" s="525"/>
      <c r="N103" s="525"/>
      <c r="O103" s="525"/>
      <c r="P103" s="525"/>
      <c r="Q103" s="525"/>
      <c r="R103" s="525"/>
      <c r="S103" s="525"/>
      <c r="T103" s="525"/>
      <c r="U103" s="525"/>
      <c r="V103" s="525"/>
    </row>
    <row r="104" spans="1:41">
      <c r="A104" s="525"/>
      <c r="B104" s="525"/>
      <c r="C104" s="525"/>
      <c r="D104" s="525"/>
      <c r="E104" s="525"/>
      <c r="F104" s="525"/>
      <c r="G104" s="525"/>
      <c r="H104" s="525"/>
      <c r="I104" s="525"/>
      <c r="J104" s="525"/>
      <c r="K104" s="525"/>
      <c r="L104" s="525"/>
      <c r="M104" s="525"/>
      <c r="N104" s="525"/>
      <c r="O104" s="525"/>
      <c r="P104" s="525"/>
      <c r="Q104" s="525"/>
      <c r="R104" s="525"/>
      <c r="S104" s="525"/>
      <c r="T104" s="525"/>
      <c r="U104" s="525"/>
      <c r="V104" s="525"/>
    </row>
    <row r="105" spans="1:41">
      <c r="A105" s="525"/>
      <c r="B105" s="525"/>
      <c r="C105" s="525"/>
      <c r="D105" s="525"/>
      <c r="E105" s="525"/>
      <c r="F105" s="525"/>
      <c r="G105" s="525"/>
      <c r="H105" s="525"/>
      <c r="I105" s="525"/>
      <c r="J105" s="525"/>
      <c r="K105" s="525"/>
      <c r="L105" s="525"/>
      <c r="M105" s="525"/>
      <c r="N105" s="525"/>
      <c r="O105" s="525"/>
      <c r="P105" s="525"/>
      <c r="Q105" s="525"/>
      <c r="R105" s="525"/>
      <c r="S105" s="525"/>
      <c r="T105" s="525"/>
      <c r="U105" s="525"/>
      <c r="V105" s="525"/>
    </row>
    <row r="106" spans="1:41">
      <c r="A106" s="525"/>
      <c r="B106" s="525"/>
      <c r="C106" s="525"/>
      <c r="D106" s="525"/>
      <c r="E106" s="525"/>
      <c r="F106" s="525"/>
      <c r="G106" s="525"/>
      <c r="H106" s="525"/>
      <c r="I106" s="525"/>
      <c r="J106" s="525"/>
      <c r="K106" s="525"/>
      <c r="L106" s="525"/>
      <c r="M106" s="525"/>
      <c r="N106" s="525"/>
      <c r="O106" s="525"/>
      <c r="P106" s="525"/>
      <c r="Q106" s="525"/>
      <c r="R106" s="525"/>
      <c r="S106" s="525"/>
      <c r="T106" s="525"/>
      <c r="U106" s="525"/>
      <c r="V106" s="525"/>
    </row>
    <row r="107" spans="1:41" ht="12.75" customHeight="1">
      <c r="A107" s="525"/>
      <c r="B107" s="525"/>
      <c r="C107" s="525"/>
      <c r="D107" s="525"/>
      <c r="E107" s="525"/>
      <c r="F107" s="525"/>
      <c r="G107" s="525"/>
      <c r="H107" s="525"/>
      <c r="I107" s="525"/>
      <c r="J107" s="525"/>
      <c r="K107" s="525"/>
      <c r="L107" s="525"/>
      <c r="M107" s="525"/>
      <c r="N107" s="525"/>
      <c r="O107" s="525"/>
      <c r="P107" s="525"/>
      <c r="Q107" s="525"/>
      <c r="R107" s="525"/>
      <c r="S107" s="525"/>
      <c r="T107" s="525"/>
      <c r="U107" s="525"/>
      <c r="V107" s="525"/>
    </row>
    <row r="108" spans="1:41" ht="12.75" customHeight="1">
      <c r="A108" s="525"/>
      <c r="B108" s="525"/>
      <c r="C108" s="525"/>
      <c r="D108" s="525"/>
      <c r="E108" s="525"/>
      <c r="F108" s="525"/>
      <c r="G108" s="525"/>
      <c r="H108" s="525"/>
      <c r="I108" s="525"/>
      <c r="J108" s="525"/>
      <c r="K108" s="525"/>
      <c r="L108" s="525"/>
      <c r="M108" s="525"/>
      <c r="N108" s="525"/>
      <c r="O108" s="525"/>
      <c r="P108" s="525"/>
      <c r="Q108" s="525"/>
      <c r="R108" s="525"/>
      <c r="S108" s="525"/>
      <c r="T108" s="525"/>
      <c r="U108" s="525"/>
      <c r="V108" s="525"/>
    </row>
    <row r="109" spans="1:41" ht="12.75" customHeight="1">
      <c r="A109" s="525"/>
      <c r="B109" s="525"/>
      <c r="C109" s="525"/>
      <c r="D109" s="525"/>
      <c r="E109" s="525"/>
      <c r="F109" s="525"/>
      <c r="G109" s="525"/>
      <c r="H109" s="525"/>
      <c r="I109" s="525"/>
      <c r="J109" s="525"/>
      <c r="K109" s="525"/>
      <c r="L109" s="525"/>
      <c r="M109" s="525"/>
      <c r="N109" s="525"/>
      <c r="O109" s="525"/>
      <c r="P109" s="525"/>
      <c r="Q109" s="525"/>
      <c r="R109" s="525"/>
      <c r="S109" s="525"/>
      <c r="T109" s="525"/>
      <c r="U109" s="525"/>
      <c r="V109" s="525"/>
    </row>
    <row r="110" spans="1:41" ht="12.75" customHeight="1">
      <c r="A110" s="525"/>
      <c r="B110" s="525"/>
      <c r="C110" s="525"/>
      <c r="D110" s="525"/>
      <c r="E110" s="525"/>
      <c r="F110" s="525"/>
      <c r="G110" s="525"/>
      <c r="H110" s="525"/>
      <c r="I110" s="525"/>
      <c r="J110" s="525"/>
      <c r="K110" s="525"/>
      <c r="L110" s="525"/>
      <c r="M110" s="525"/>
      <c r="N110" s="525"/>
      <c r="O110" s="525"/>
      <c r="P110" s="525"/>
      <c r="Q110" s="525"/>
      <c r="R110" s="525"/>
      <c r="S110" s="525"/>
      <c r="T110" s="525"/>
      <c r="U110" s="525"/>
      <c r="V110" s="525"/>
    </row>
    <row r="111" spans="1:41" ht="12.75" customHeight="1">
      <c r="A111" s="525"/>
      <c r="B111" s="525"/>
      <c r="C111" s="525"/>
      <c r="D111" s="525"/>
      <c r="E111" s="525"/>
      <c r="F111" s="525"/>
      <c r="G111" s="525"/>
      <c r="H111" s="525"/>
      <c r="I111" s="525"/>
      <c r="J111" s="525"/>
      <c r="K111" s="525"/>
      <c r="L111" s="525"/>
      <c r="M111" s="525"/>
      <c r="N111" s="525"/>
      <c r="O111" s="525"/>
      <c r="P111" s="525"/>
      <c r="Q111" s="525"/>
      <c r="R111" s="525"/>
      <c r="S111" s="525"/>
      <c r="T111" s="525"/>
      <c r="U111" s="525"/>
      <c r="V111" s="525"/>
    </row>
    <row r="112" spans="1:41" ht="12.75" customHeight="1">
      <c r="A112" s="525"/>
      <c r="B112" s="525"/>
      <c r="C112" s="525"/>
      <c r="D112" s="525"/>
      <c r="E112" s="525"/>
      <c r="F112" s="525"/>
      <c r="G112" s="525"/>
      <c r="H112" s="525"/>
      <c r="I112" s="525"/>
      <c r="J112" s="525"/>
      <c r="K112" s="525"/>
      <c r="L112" s="525"/>
      <c r="M112" s="525"/>
      <c r="N112" s="525"/>
      <c r="O112" s="525"/>
      <c r="P112" s="525"/>
      <c r="Q112" s="525"/>
      <c r="R112" s="525"/>
      <c r="S112" s="525"/>
      <c r="T112" s="525"/>
      <c r="U112" s="525"/>
      <c r="V112" s="525"/>
    </row>
    <row r="113" spans="1:22" ht="12.75" customHeight="1">
      <c r="A113" s="525"/>
      <c r="B113" s="525"/>
      <c r="C113" s="525"/>
      <c r="D113" s="525"/>
      <c r="E113" s="525"/>
      <c r="F113" s="525"/>
      <c r="G113" s="525"/>
      <c r="H113" s="525"/>
      <c r="I113" s="525"/>
      <c r="J113" s="525"/>
      <c r="K113" s="525"/>
      <c r="L113" s="525"/>
      <c r="M113" s="525"/>
      <c r="N113" s="525"/>
      <c r="O113" s="525"/>
      <c r="P113" s="525"/>
      <c r="Q113" s="525"/>
      <c r="R113" s="525"/>
      <c r="S113" s="525"/>
      <c r="T113" s="525"/>
      <c r="U113" s="525"/>
      <c r="V113" s="525"/>
    </row>
    <row r="114" spans="1:22" ht="12.75" customHeight="1">
      <c r="A114" s="525"/>
      <c r="B114" s="525"/>
      <c r="C114" s="525"/>
      <c r="D114" s="525"/>
      <c r="E114" s="525"/>
      <c r="F114" s="525"/>
      <c r="G114" s="525"/>
      <c r="H114" s="525"/>
      <c r="I114" s="525"/>
      <c r="J114" s="525"/>
      <c r="K114" s="525"/>
      <c r="L114" s="525"/>
      <c r="M114" s="525"/>
      <c r="N114" s="525"/>
      <c r="O114" s="525"/>
      <c r="P114" s="525"/>
      <c r="Q114" s="525"/>
      <c r="R114" s="525"/>
      <c r="S114" s="525"/>
      <c r="T114" s="525"/>
      <c r="U114" s="525"/>
      <c r="V114" s="525"/>
    </row>
    <row r="115" spans="1:22" ht="12.75" customHeight="1">
      <c r="A115" s="525"/>
      <c r="B115" s="525"/>
      <c r="C115" s="525"/>
      <c r="D115" s="525"/>
      <c r="E115" s="525"/>
      <c r="F115" s="525"/>
      <c r="G115" s="525"/>
      <c r="H115" s="525"/>
      <c r="I115" s="525"/>
      <c r="J115" s="525"/>
      <c r="K115" s="525"/>
      <c r="L115" s="525"/>
      <c r="M115" s="525"/>
      <c r="N115" s="525"/>
      <c r="O115" s="525"/>
      <c r="P115" s="525"/>
      <c r="Q115" s="525"/>
      <c r="R115" s="525"/>
      <c r="S115" s="525"/>
      <c r="T115" s="525"/>
      <c r="U115" s="525"/>
      <c r="V115" s="525"/>
    </row>
    <row r="116" spans="1:22" ht="12.75" customHeight="1">
      <c r="A116" s="525"/>
      <c r="B116" s="525"/>
      <c r="C116" s="525"/>
      <c r="D116" s="525"/>
      <c r="E116" s="525"/>
      <c r="F116" s="525"/>
      <c r="G116" s="525"/>
      <c r="H116" s="525"/>
      <c r="I116" s="525"/>
      <c r="J116" s="525"/>
      <c r="K116" s="525"/>
      <c r="L116" s="525"/>
      <c r="M116" s="525"/>
      <c r="N116" s="525"/>
      <c r="O116" s="525"/>
      <c r="P116" s="525"/>
      <c r="Q116" s="525"/>
      <c r="R116" s="525"/>
      <c r="S116" s="525"/>
      <c r="T116" s="525"/>
      <c r="U116" s="525"/>
      <c r="V116" s="525"/>
    </row>
    <row r="117" spans="1:22" ht="12.75" customHeight="1">
      <c r="A117" s="525"/>
      <c r="B117" s="525"/>
      <c r="C117" s="525"/>
      <c r="D117" s="525"/>
      <c r="E117" s="525"/>
      <c r="F117" s="525"/>
      <c r="G117" s="525"/>
      <c r="H117" s="525"/>
      <c r="I117" s="525"/>
      <c r="J117" s="525"/>
      <c r="K117" s="525"/>
      <c r="L117" s="525"/>
      <c r="M117" s="525"/>
      <c r="N117" s="525"/>
      <c r="O117" s="525"/>
      <c r="P117" s="525"/>
      <c r="Q117" s="525"/>
      <c r="R117" s="525"/>
      <c r="S117" s="525"/>
      <c r="T117" s="525"/>
      <c r="U117" s="525"/>
      <c r="V117" s="525"/>
    </row>
    <row r="118" spans="1:22">
      <c r="A118" s="525"/>
      <c r="B118" s="525"/>
      <c r="C118" s="525"/>
      <c r="D118" s="525"/>
      <c r="E118" s="525"/>
      <c r="F118" s="525"/>
      <c r="G118" s="525"/>
      <c r="H118" s="525"/>
      <c r="I118" s="525"/>
      <c r="J118" s="525"/>
      <c r="K118" s="525"/>
      <c r="L118" s="525"/>
      <c r="M118" s="525"/>
      <c r="N118" s="525"/>
      <c r="O118" s="525"/>
      <c r="P118" s="525"/>
      <c r="Q118" s="525"/>
      <c r="R118" s="525"/>
      <c r="S118" s="525"/>
      <c r="T118" s="525"/>
      <c r="U118" s="525"/>
      <c r="V118" s="525"/>
    </row>
    <row r="119" spans="1:22">
      <c r="A119" s="525"/>
      <c r="B119" s="525"/>
      <c r="C119" s="525"/>
      <c r="D119" s="525"/>
      <c r="E119" s="525"/>
      <c r="F119" s="525"/>
      <c r="G119" s="525"/>
      <c r="H119" s="525"/>
      <c r="I119" s="525"/>
      <c r="J119" s="525"/>
      <c r="K119" s="525"/>
      <c r="L119" s="525"/>
      <c r="M119" s="525"/>
      <c r="N119" s="525"/>
      <c r="O119" s="525"/>
      <c r="P119" s="525"/>
      <c r="Q119" s="525"/>
      <c r="R119" s="525"/>
      <c r="S119" s="525"/>
      <c r="T119" s="525"/>
      <c r="U119" s="525"/>
      <c r="V119" s="525"/>
    </row>
    <row r="120" spans="1:22">
      <c r="A120" s="525"/>
      <c r="B120" s="525"/>
      <c r="C120" s="525"/>
      <c r="D120" s="525"/>
      <c r="E120" s="525"/>
      <c r="F120" s="525"/>
      <c r="G120" s="525"/>
      <c r="H120" s="525"/>
      <c r="I120" s="525"/>
      <c r="J120" s="525"/>
      <c r="K120" s="525"/>
      <c r="L120" s="525"/>
      <c r="M120" s="525"/>
      <c r="N120" s="525"/>
      <c r="O120" s="525"/>
      <c r="P120" s="525"/>
      <c r="Q120" s="525"/>
      <c r="R120" s="525"/>
      <c r="S120" s="525"/>
      <c r="T120" s="525"/>
      <c r="U120" s="525"/>
      <c r="V120" s="525"/>
    </row>
    <row r="121" spans="1:22">
      <c r="A121" s="525"/>
      <c r="B121" s="525"/>
      <c r="C121" s="525"/>
      <c r="D121" s="525"/>
      <c r="E121" s="525"/>
      <c r="F121" s="525"/>
      <c r="G121" s="525"/>
      <c r="H121" s="525"/>
      <c r="I121" s="525"/>
      <c r="J121" s="525"/>
      <c r="K121" s="525"/>
      <c r="L121" s="525"/>
      <c r="M121" s="525"/>
      <c r="N121" s="525"/>
      <c r="O121" s="525"/>
      <c r="P121" s="525"/>
      <c r="Q121" s="525"/>
      <c r="R121" s="525"/>
      <c r="S121" s="525"/>
      <c r="T121" s="525"/>
      <c r="U121" s="525"/>
      <c r="V121" s="525"/>
    </row>
    <row r="122" spans="1:22">
      <c r="A122" s="525"/>
      <c r="B122" s="525"/>
      <c r="C122" s="525"/>
      <c r="D122" s="525"/>
      <c r="E122" s="525"/>
      <c r="F122" s="525"/>
      <c r="G122" s="525"/>
      <c r="H122" s="525"/>
      <c r="I122" s="525"/>
      <c r="J122" s="525"/>
      <c r="K122" s="525"/>
      <c r="L122" s="525"/>
      <c r="M122" s="525"/>
      <c r="N122" s="525"/>
      <c r="O122" s="525"/>
      <c r="P122" s="525"/>
      <c r="Q122" s="525"/>
      <c r="R122" s="525"/>
      <c r="S122" s="525"/>
      <c r="T122" s="525"/>
      <c r="U122" s="525"/>
      <c r="V122" s="525"/>
    </row>
    <row r="123" spans="1:22">
      <c r="A123" s="525"/>
      <c r="B123" s="525"/>
      <c r="C123" s="525"/>
      <c r="D123" s="525"/>
      <c r="E123" s="525"/>
      <c r="F123" s="525"/>
      <c r="G123" s="525"/>
      <c r="H123" s="525"/>
      <c r="I123" s="525"/>
      <c r="J123" s="525"/>
      <c r="K123" s="525"/>
      <c r="L123" s="525"/>
      <c r="M123" s="525"/>
      <c r="N123" s="525"/>
      <c r="O123" s="525"/>
      <c r="P123" s="525"/>
      <c r="Q123" s="525"/>
      <c r="R123" s="525"/>
      <c r="S123" s="525"/>
      <c r="T123" s="525"/>
      <c r="U123" s="525"/>
      <c r="V123" s="525"/>
    </row>
    <row r="124" spans="1:22">
      <c r="A124" s="525"/>
      <c r="B124" s="525"/>
      <c r="C124" s="525"/>
      <c r="D124" s="525"/>
      <c r="E124" s="525"/>
      <c r="F124" s="525"/>
      <c r="G124" s="525"/>
      <c r="H124" s="525"/>
      <c r="I124" s="525"/>
      <c r="J124" s="525"/>
      <c r="K124" s="525"/>
      <c r="L124" s="525"/>
      <c r="M124" s="525"/>
      <c r="N124" s="525"/>
      <c r="O124" s="525"/>
      <c r="P124" s="525"/>
      <c r="Q124" s="525"/>
      <c r="R124" s="525"/>
      <c r="S124" s="525"/>
      <c r="T124" s="525"/>
      <c r="U124" s="525"/>
      <c r="V124" s="525"/>
    </row>
    <row r="125" spans="1:22">
      <c r="A125" s="525"/>
      <c r="B125" s="525"/>
      <c r="C125" s="525"/>
      <c r="D125" s="525"/>
      <c r="E125" s="525"/>
      <c r="F125" s="525"/>
      <c r="G125" s="525"/>
      <c r="H125" s="525"/>
      <c r="I125" s="525"/>
      <c r="J125" s="525"/>
      <c r="K125" s="525"/>
      <c r="L125" s="525"/>
      <c r="M125" s="525"/>
      <c r="N125" s="525"/>
      <c r="O125" s="525"/>
      <c r="P125" s="525"/>
      <c r="Q125" s="525"/>
      <c r="R125" s="525"/>
      <c r="S125" s="525"/>
      <c r="T125" s="525"/>
      <c r="U125" s="525"/>
      <c r="V125" s="525"/>
    </row>
    <row r="126" spans="1:22">
      <c r="A126" s="525"/>
      <c r="B126" s="525"/>
      <c r="C126" s="525"/>
      <c r="D126" s="525"/>
      <c r="E126" s="525"/>
      <c r="F126" s="525"/>
      <c r="G126" s="525"/>
      <c r="H126" s="525"/>
      <c r="I126" s="525"/>
      <c r="J126" s="525"/>
      <c r="K126" s="525"/>
      <c r="L126" s="525"/>
      <c r="M126" s="525"/>
      <c r="N126" s="525"/>
      <c r="O126" s="525"/>
      <c r="P126" s="525"/>
      <c r="Q126" s="525"/>
      <c r="R126" s="525"/>
      <c r="S126" s="525"/>
      <c r="T126" s="525"/>
      <c r="U126" s="525"/>
      <c r="V126" s="525"/>
    </row>
    <row r="127" spans="1:22">
      <c r="A127" s="525"/>
      <c r="B127" s="525"/>
      <c r="C127" s="525"/>
      <c r="D127" s="525"/>
      <c r="E127" s="525"/>
      <c r="F127" s="525"/>
      <c r="G127" s="525"/>
      <c r="H127" s="525"/>
      <c r="I127" s="525"/>
      <c r="J127" s="525"/>
      <c r="K127" s="525"/>
      <c r="L127" s="525"/>
      <c r="M127" s="525"/>
      <c r="N127" s="525"/>
      <c r="O127" s="525"/>
      <c r="P127" s="525"/>
      <c r="Q127" s="525"/>
      <c r="R127" s="525"/>
      <c r="S127" s="525"/>
      <c r="T127" s="525"/>
      <c r="U127" s="525"/>
      <c r="V127" s="525"/>
    </row>
    <row r="128" spans="1:22">
      <c r="A128" s="525"/>
      <c r="B128" s="525"/>
      <c r="C128" s="525"/>
      <c r="D128" s="525"/>
      <c r="E128" s="525"/>
      <c r="F128" s="525"/>
      <c r="G128" s="525"/>
      <c r="H128" s="525"/>
      <c r="I128" s="525"/>
      <c r="J128" s="525"/>
      <c r="K128" s="525"/>
      <c r="L128" s="525"/>
      <c r="M128" s="525"/>
      <c r="N128" s="525"/>
      <c r="O128" s="525"/>
      <c r="P128" s="525"/>
      <c r="Q128" s="525"/>
      <c r="R128" s="525"/>
      <c r="S128" s="525"/>
      <c r="T128" s="525"/>
      <c r="U128" s="525"/>
      <c r="V128" s="525"/>
    </row>
    <row r="129" spans="1:22">
      <c r="A129" s="525"/>
      <c r="B129" s="525"/>
      <c r="C129" s="525"/>
      <c r="D129" s="525"/>
      <c r="E129" s="525"/>
      <c r="F129" s="525"/>
      <c r="G129" s="525"/>
      <c r="H129" s="525"/>
      <c r="I129" s="525"/>
      <c r="J129" s="525"/>
      <c r="K129" s="525"/>
      <c r="L129" s="525"/>
      <c r="M129" s="525"/>
      <c r="N129" s="525"/>
      <c r="O129" s="525"/>
      <c r="P129" s="525"/>
      <c r="Q129" s="525"/>
      <c r="R129" s="525"/>
      <c r="S129" s="525"/>
      <c r="T129" s="525"/>
      <c r="U129" s="525"/>
      <c r="V129" s="525"/>
    </row>
    <row r="130" spans="1:22">
      <c r="A130" s="525"/>
      <c r="B130" s="525"/>
      <c r="C130" s="525"/>
      <c r="D130" s="525"/>
      <c r="E130" s="525"/>
      <c r="F130" s="525"/>
      <c r="G130" s="525"/>
      <c r="H130" s="525"/>
      <c r="I130" s="525"/>
      <c r="J130" s="525"/>
      <c r="K130" s="525"/>
      <c r="L130" s="525"/>
      <c r="M130" s="525"/>
      <c r="N130" s="525"/>
      <c r="O130" s="525"/>
      <c r="P130" s="525"/>
      <c r="Q130" s="525"/>
      <c r="R130" s="525"/>
      <c r="S130" s="525"/>
      <c r="T130" s="525"/>
      <c r="U130" s="525"/>
      <c r="V130" s="525"/>
    </row>
    <row r="131" spans="1:22">
      <c r="A131" s="525"/>
      <c r="B131" s="525"/>
      <c r="C131" s="525"/>
      <c r="D131" s="525"/>
      <c r="E131" s="525"/>
      <c r="F131" s="525"/>
      <c r="G131" s="525"/>
      <c r="H131" s="525"/>
      <c r="I131" s="525"/>
      <c r="J131" s="525"/>
      <c r="K131" s="525"/>
      <c r="L131" s="525"/>
      <c r="M131" s="525"/>
      <c r="N131" s="525"/>
      <c r="O131" s="525"/>
      <c r="P131" s="525"/>
      <c r="Q131" s="525"/>
      <c r="R131" s="525"/>
      <c r="S131" s="525"/>
      <c r="T131" s="525"/>
      <c r="U131" s="525"/>
      <c r="V131" s="525"/>
    </row>
    <row r="132" spans="1:22">
      <c r="A132" s="525"/>
      <c r="B132" s="525"/>
      <c r="C132" s="525"/>
      <c r="D132" s="525"/>
      <c r="E132" s="525"/>
      <c r="F132" s="525"/>
      <c r="G132" s="525"/>
      <c r="H132" s="525"/>
      <c r="I132" s="525"/>
      <c r="J132" s="525"/>
      <c r="K132" s="525"/>
      <c r="L132" s="525"/>
      <c r="M132" s="525"/>
      <c r="N132" s="525"/>
      <c r="O132" s="525"/>
      <c r="P132" s="525"/>
      <c r="Q132" s="525"/>
      <c r="R132" s="525"/>
      <c r="S132" s="525"/>
      <c r="T132" s="525"/>
      <c r="U132" s="525"/>
      <c r="V132" s="525"/>
    </row>
    <row r="133" spans="1:22">
      <c r="A133" s="525"/>
      <c r="B133" s="525"/>
      <c r="C133" s="525"/>
      <c r="D133" s="525"/>
      <c r="E133" s="525"/>
      <c r="F133" s="525"/>
      <c r="G133" s="525"/>
      <c r="H133" s="525"/>
      <c r="I133" s="525"/>
      <c r="J133" s="525"/>
      <c r="K133" s="525"/>
      <c r="L133" s="525"/>
      <c r="M133" s="525"/>
      <c r="N133" s="525"/>
      <c r="O133" s="525"/>
      <c r="P133" s="525"/>
      <c r="Q133" s="525"/>
      <c r="R133" s="525"/>
      <c r="S133" s="525"/>
      <c r="T133" s="525"/>
      <c r="U133" s="525"/>
      <c r="V133" s="525"/>
    </row>
    <row r="134" spans="1:22">
      <c r="A134" s="525"/>
      <c r="B134" s="525"/>
      <c r="C134" s="525"/>
      <c r="D134" s="525"/>
      <c r="E134" s="525"/>
      <c r="F134" s="525"/>
      <c r="G134" s="525"/>
      <c r="H134" s="525"/>
      <c r="I134" s="525"/>
      <c r="J134" s="525"/>
      <c r="K134" s="525"/>
      <c r="L134" s="525"/>
      <c r="M134" s="525"/>
      <c r="N134" s="525"/>
      <c r="O134" s="525"/>
      <c r="P134" s="525"/>
      <c r="Q134" s="525"/>
      <c r="R134" s="525"/>
      <c r="S134" s="525"/>
      <c r="T134" s="525"/>
      <c r="U134" s="525"/>
      <c r="V134" s="525"/>
    </row>
    <row r="135" spans="1:22">
      <c r="A135" s="525"/>
      <c r="B135" s="525"/>
      <c r="C135" s="525"/>
      <c r="D135" s="525"/>
      <c r="E135" s="525"/>
      <c r="F135" s="525"/>
      <c r="G135" s="525"/>
      <c r="H135" s="525"/>
      <c r="I135" s="525"/>
      <c r="J135" s="525"/>
      <c r="K135" s="525"/>
      <c r="L135" s="525"/>
      <c r="M135" s="525"/>
      <c r="N135" s="525"/>
      <c r="O135" s="525"/>
      <c r="P135" s="525"/>
      <c r="Q135" s="525"/>
      <c r="R135" s="525"/>
      <c r="S135" s="525"/>
      <c r="T135" s="525"/>
      <c r="U135" s="525"/>
      <c r="V135" s="525"/>
    </row>
    <row r="136" spans="1:22">
      <c r="A136" s="525"/>
      <c r="B136" s="525"/>
      <c r="C136" s="525"/>
      <c r="D136" s="525"/>
      <c r="E136" s="525"/>
      <c r="F136" s="525"/>
      <c r="G136" s="525"/>
      <c r="H136" s="525"/>
      <c r="I136" s="525"/>
      <c r="J136" s="525"/>
      <c r="K136" s="525"/>
      <c r="L136" s="525"/>
      <c r="M136" s="525"/>
      <c r="N136" s="525"/>
      <c r="O136" s="525"/>
      <c r="P136" s="525"/>
      <c r="Q136" s="525"/>
      <c r="R136" s="525"/>
      <c r="S136" s="525"/>
      <c r="T136" s="525"/>
      <c r="U136" s="525"/>
      <c r="V136" s="525"/>
    </row>
    <row r="137" spans="1:22">
      <c r="A137" s="525"/>
      <c r="B137" s="525"/>
      <c r="C137" s="525"/>
      <c r="D137" s="525"/>
      <c r="E137" s="525"/>
      <c r="F137" s="525"/>
      <c r="G137" s="525"/>
      <c r="H137" s="525"/>
      <c r="I137" s="525"/>
      <c r="J137" s="525"/>
      <c r="K137" s="525"/>
      <c r="L137" s="525"/>
      <c r="M137" s="525"/>
      <c r="N137" s="525"/>
      <c r="O137" s="525"/>
      <c r="P137" s="525"/>
      <c r="Q137" s="525"/>
      <c r="R137" s="525"/>
      <c r="S137" s="525"/>
      <c r="T137" s="525"/>
      <c r="U137" s="525"/>
      <c r="V137" s="525"/>
    </row>
    <row r="138" spans="1:22" ht="12.75" customHeight="1">
      <c r="A138" s="525"/>
      <c r="B138" s="525"/>
      <c r="C138" s="525"/>
      <c r="D138" s="525"/>
      <c r="E138" s="525"/>
      <c r="F138" s="525"/>
      <c r="G138" s="525"/>
      <c r="H138" s="525"/>
      <c r="I138" s="525"/>
      <c r="J138" s="525"/>
      <c r="K138" s="525"/>
      <c r="L138" s="525"/>
      <c r="M138" s="525"/>
      <c r="N138" s="525"/>
      <c r="O138" s="525"/>
      <c r="P138" s="525"/>
      <c r="Q138" s="525"/>
      <c r="R138" s="525"/>
      <c r="S138" s="525"/>
      <c r="T138" s="525"/>
      <c r="U138" s="525"/>
      <c r="V138" s="525"/>
    </row>
    <row r="139" spans="1:22" ht="12.75" customHeight="1">
      <c r="A139" s="525"/>
      <c r="B139" s="525"/>
      <c r="C139" s="525"/>
      <c r="D139" s="525"/>
      <c r="E139" s="525"/>
      <c r="F139" s="525"/>
      <c r="G139" s="525"/>
      <c r="H139" s="525"/>
      <c r="I139" s="525"/>
      <c r="J139" s="525"/>
      <c r="K139" s="525"/>
      <c r="L139" s="525"/>
      <c r="M139" s="525"/>
      <c r="N139" s="525"/>
      <c r="O139" s="525"/>
      <c r="P139" s="525"/>
      <c r="Q139" s="525"/>
      <c r="R139" s="525"/>
      <c r="S139" s="525"/>
      <c r="T139" s="525"/>
      <c r="U139" s="525"/>
      <c r="V139" s="525"/>
    </row>
    <row r="140" spans="1:22" ht="12.75" customHeight="1">
      <c r="A140" s="525"/>
      <c r="B140" s="525"/>
      <c r="C140" s="525"/>
      <c r="D140" s="525"/>
      <c r="E140" s="525"/>
      <c r="F140" s="525"/>
      <c r="G140" s="525"/>
      <c r="H140" s="525"/>
      <c r="I140" s="525"/>
      <c r="J140" s="525"/>
      <c r="K140" s="525"/>
      <c r="L140" s="525"/>
      <c r="M140" s="525"/>
      <c r="N140" s="525"/>
      <c r="O140" s="525"/>
      <c r="P140" s="525"/>
      <c r="Q140" s="525"/>
      <c r="R140" s="525"/>
      <c r="S140" s="525"/>
      <c r="T140" s="525"/>
      <c r="U140" s="525"/>
      <c r="V140" s="525"/>
    </row>
    <row r="141" spans="1:22">
      <c r="A141" s="525"/>
      <c r="B141" s="525"/>
      <c r="C141" s="525"/>
      <c r="D141" s="525"/>
      <c r="E141" s="525"/>
      <c r="F141" s="525"/>
      <c r="G141" s="525"/>
      <c r="H141" s="525"/>
      <c r="I141" s="525"/>
      <c r="J141" s="525"/>
      <c r="K141" s="525"/>
      <c r="L141" s="525"/>
      <c r="M141" s="525"/>
      <c r="N141" s="525"/>
      <c r="O141" s="525"/>
      <c r="P141" s="525"/>
      <c r="Q141" s="525"/>
      <c r="R141" s="525"/>
      <c r="S141" s="525"/>
      <c r="T141" s="525"/>
      <c r="U141" s="525"/>
      <c r="V141" s="525"/>
    </row>
    <row r="142" spans="1:22">
      <c r="A142" s="525"/>
      <c r="B142" s="525"/>
      <c r="C142" s="525"/>
      <c r="D142" s="525"/>
      <c r="E142" s="525"/>
      <c r="F142" s="525"/>
      <c r="G142" s="525"/>
      <c r="H142" s="525"/>
      <c r="I142" s="525"/>
      <c r="J142" s="525"/>
      <c r="K142" s="525"/>
      <c r="L142" s="525"/>
      <c r="M142" s="525"/>
      <c r="N142" s="525"/>
      <c r="O142" s="525"/>
      <c r="P142" s="525"/>
      <c r="Q142" s="525"/>
      <c r="R142" s="525"/>
      <c r="S142" s="525"/>
      <c r="T142" s="525"/>
      <c r="U142" s="525"/>
      <c r="V142" s="525"/>
    </row>
    <row r="143" spans="1:22">
      <c r="A143" s="525"/>
      <c r="B143" s="525"/>
      <c r="C143" s="525"/>
      <c r="D143" s="525"/>
      <c r="E143" s="525"/>
      <c r="F143" s="525"/>
      <c r="G143" s="525"/>
      <c r="H143" s="525"/>
      <c r="I143" s="525"/>
      <c r="J143" s="525"/>
      <c r="K143" s="525"/>
      <c r="L143" s="525"/>
      <c r="M143" s="525"/>
      <c r="N143" s="525"/>
      <c r="O143" s="525"/>
      <c r="P143" s="525"/>
      <c r="Q143" s="525"/>
      <c r="R143" s="525"/>
      <c r="S143" s="525"/>
      <c r="T143" s="525"/>
      <c r="U143" s="525"/>
      <c r="V143" s="525"/>
    </row>
    <row r="144" spans="1:22">
      <c r="A144" s="525"/>
      <c r="B144" s="525"/>
      <c r="C144" s="525"/>
      <c r="D144" s="525"/>
      <c r="E144" s="525"/>
      <c r="F144" s="525"/>
      <c r="G144" s="525"/>
      <c r="H144" s="525"/>
      <c r="I144" s="525"/>
      <c r="J144" s="525"/>
      <c r="K144" s="525"/>
      <c r="L144" s="525"/>
      <c r="M144" s="525"/>
      <c r="N144" s="525"/>
      <c r="O144" s="525"/>
      <c r="P144" s="525"/>
      <c r="Q144" s="525"/>
      <c r="R144" s="525"/>
      <c r="S144" s="525"/>
      <c r="T144" s="525"/>
      <c r="U144" s="525"/>
      <c r="V144" s="525"/>
    </row>
    <row r="145" spans="1:22">
      <c r="A145" s="525"/>
      <c r="B145" s="525"/>
      <c r="C145" s="525"/>
      <c r="D145" s="525"/>
      <c r="E145" s="525"/>
      <c r="F145" s="525"/>
      <c r="G145" s="525"/>
      <c r="H145" s="525"/>
      <c r="I145" s="525"/>
      <c r="J145" s="525"/>
      <c r="K145" s="525"/>
      <c r="L145" s="525"/>
      <c r="M145" s="525"/>
      <c r="N145" s="525"/>
      <c r="O145" s="525"/>
      <c r="P145" s="525"/>
      <c r="Q145" s="525"/>
      <c r="R145" s="525"/>
      <c r="S145" s="525"/>
      <c r="T145" s="525"/>
      <c r="U145" s="525"/>
      <c r="V145" s="525"/>
    </row>
    <row r="146" spans="1:22">
      <c r="A146" s="525"/>
      <c r="B146" s="525"/>
      <c r="C146" s="525"/>
      <c r="D146" s="525"/>
      <c r="E146" s="525"/>
      <c r="F146" s="525"/>
      <c r="G146" s="525"/>
      <c r="H146" s="525"/>
      <c r="I146" s="525"/>
      <c r="J146" s="525"/>
      <c r="K146" s="525"/>
      <c r="L146" s="525"/>
      <c r="M146" s="525"/>
      <c r="N146" s="525"/>
      <c r="O146" s="525"/>
      <c r="P146" s="525"/>
      <c r="Q146" s="525"/>
      <c r="R146" s="525"/>
      <c r="S146" s="525"/>
      <c r="T146" s="525"/>
      <c r="U146" s="525"/>
      <c r="V146" s="525"/>
    </row>
    <row r="147" spans="1:22">
      <c r="A147" s="525"/>
      <c r="B147" s="525"/>
      <c r="C147" s="525"/>
      <c r="D147" s="525"/>
      <c r="E147" s="525"/>
      <c r="F147" s="525"/>
      <c r="G147" s="525"/>
      <c r="H147" s="525"/>
      <c r="I147" s="525"/>
      <c r="J147" s="525"/>
      <c r="K147" s="525"/>
      <c r="L147" s="525"/>
      <c r="M147" s="525"/>
      <c r="N147" s="525"/>
      <c r="O147" s="525"/>
      <c r="P147" s="525"/>
      <c r="Q147" s="525"/>
      <c r="R147" s="525"/>
      <c r="S147" s="525"/>
      <c r="T147" s="525"/>
      <c r="U147" s="525"/>
      <c r="V147" s="525"/>
    </row>
    <row r="148" spans="1:22">
      <c r="A148" s="525"/>
      <c r="B148" s="525"/>
      <c r="C148" s="525"/>
      <c r="D148" s="525"/>
      <c r="E148" s="525"/>
      <c r="F148" s="525"/>
      <c r="G148" s="525"/>
      <c r="H148" s="525"/>
      <c r="I148" s="525"/>
      <c r="J148" s="525"/>
      <c r="K148" s="525"/>
      <c r="L148" s="525"/>
      <c r="M148" s="525"/>
      <c r="N148" s="525"/>
      <c r="O148" s="525"/>
      <c r="P148" s="525"/>
      <c r="Q148" s="525"/>
      <c r="R148" s="525"/>
      <c r="S148" s="525"/>
      <c r="T148" s="525"/>
      <c r="U148" s="525"/>
      <c r="V148" s="525"/>
    </row>
    <row r="149" spans="1:22">
      <c r="A149" s="525"/>
      <c r="B149" s="525"/>
      <c r="C149" s="525"/>
      <c r="D149" s="525"/>
      <c r="E149" s="525"/>
      <c r="F149" s="525"/>
      <c r="G149" s="525"/>
      <c r="H149" s="525"/>
      <c r="I149" s="525"/>
      <c r="J149" s="525"/>
      <c r="K149" s="525"/>
      <c r="L149" s="525"/>
      <c r="M149" s="525"/>
      <c r="N149" s="525"/>
      <c r="O149" s="525"/>
      <c r="P149" s="525"/>
      <c r="Q149" s="525"/>
      <c r="R149" s="525"/>
      <c r="S149" s="525"/>
      <c r="T149" s="525"/>
      <c r="U149" s="525"/>
      <c r="V149" s="525"/>
    </row>
    <row r="150" spans="1:22">
      <c r="A150" s="525"/>
      <c r="B150" s="525"/>
      <c r="C150" s="525"/>
      <c r="D150" s="525"/>
      <c r="E150" s="525"/>
      <c r="F150" s="525"/>
      <c r="G150" s="525"/>
      <c r="H150" s="525"/>
      <c r="I150" s="525"/>
      <c r="J150" s="525"/>
      <c r="K150" s="525"/>
      <c r="L150" s="525"/>
      <c r="M150" s="525"/>
      <c r="N150" s="525"/>
      <c r="O150" s="525"/>
      <c r="P150" s="525"/>
      <c r="Q150" s="525"/>
      <c r="R150" s="525"/>
      <c r="S150" s="525"/>
      <c r="T150" s="525"/>
      <c r="U150" s="525"/>
      <c r="V150" s="525"/>
    </row>
    <row r="151" spans="1:22">
      <c r="A151" s="525"/>
      <c r="B151" s="525"/>
      <c r="C151" s="525"/>
      <c r="D151" s="525"/>
      <c r="E151" s="525"/>
      <c r="F151" s="525"/>
      <c r="G151" s="525"/>
      <c r="H151" s="525"/>
      <c r="I151" s="525"/>
      <c r="J151" s="525"/>
      <c r="K151" s="525"/>
      <c r="L151" s="525"/>
      <c r="M151" s="525"/>
      <c r="N151" s="525"/>
      <c r="O151" s="525"/>
      <c r="P151" s="525"/>
      <c r="Q151" s="525"/>
      <c r="R151" s="525"/>
      <c r="S151" s="525"/>
      <c r="T151" s="525"/>
      <c r="U151" s="525"/>
      <c r="V151" s="525"/>
    </row>
  </sheetData>
  <mergeCells count="8">
    <mergeCell ref="B36:J37"/>
    <mergeCell ref="B29:G30"/>
    <mergeCell ref="A8:K8"/>
    <mergeCell ref="B11:H11"/>
    <mergeCell ref="A3:K3"/>
    <mergeCell ref="A4:K4"/>
    <mergeCell ref="A5:K5"/>
    <mergeCell ref="A6:K6"/>
  </mergeCells>
  <phoneticPr fontId="0" type="noConversion"/>
  <pageMargins left="0.26" right="1.28" top="1" bottom="1" header="0.75" footer="0.5"/>
  <pageSetup scale="83" orientation="landscape" r:id="rId1"/>
  <headerFooter alignWithMargins="0">
    <oddHeader>&amp;R&amp;"Arial,Bold"Formula Rate 
&amp;A
Page &amp;P of &amp;N</oddHeader>
  </headerFooter>
  <rowBreaks count="1" manualBreakCount="1">
    <brk id="102" max="17"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pageSetUpPr fitToPage="1"/>
  </sheetPr>
  <dimension ref="A1:S75"/>
  <sheetViews>
    <sheetView topLeftCell="A32" zoomScale="75" workbookViewId="0">
      <selection activeCell="D67" sqref="D67"/>
    </sheetView>
  </sheetViews>
  <sheetFormatPr defaultRowHeight="15"/>
  <cols>
    <col min="1" max="1" width="10.42578125" style="38" customWidth="1"/>
    <col min="2" max="2" width="15.140625" style="11" customWidth="1"/>
    <col min="3" max="3" width="57.7109375" style="6" customWidth="1"/>
    <col min="4" max="4" width="15.7109375" style="6" customWidth="1"/>
    <col min="5" max="5" width="20.7109375" style="6" customWidth="1"/>
    <col min="6" max="6" width="17.28515625" style="6" customWidth="1"/>
    <col min="7" max="7" width="41.85546875" style="6" customWidth="1"/>
    <col min="8" max="8" width="13.85546875" style="6" customWidth="1"/>
    <col min="9" max="9" width="9.140625" style="6"/>
    <col min="10" max="10" width="12.42578125" style="6" bestFit="1" customWidth="1"/>
    <col min="11" max="11" width="13.28515625" style="6" customWidth="1"/>
    <col min="12" max="16384" width="9.140625" style="6"/>
  </cols>
  <sheetData>
    <row r="1" spans="1:11" ht="15.75">
      <c r="A1" s="1005" t="s">
        <v>406</v>
      </c>
    </row>
    <row r="2" spans="1:11" ht="15.75">
      <c r="A2" s="1005" t="s">
        <v>406</v>
      </c>
    </row>
    <row r="3" spans="1:11">
      <c r="A3" s="1489" t="str">
        <f>TCOS!$F$5</f>
        <v>AEPTCo subsidiaries in PJM</v>
      </c>
      <c r="B3" s="1489" t="str">
        <f>TCOS!$F$5</f>
        <v>AEPTCo subsidiaries in PJM</v>
      </c>
      <c r="C3" s="1489" t="str">
        <f>TCOS!$F$5</f>
        <v>AEPTCo subsidiaries in PJM</v>
      </c>
      <c r="D3" s="1489" t="str">
        <f>TCOS!$F$5</f>
        <v>AEPTCo subsidiaries in PJM</v>
      </c>
      <c r="E3" s="1489" t="str">
        <f>TCOS!$F$5</f>
        <v>AEPTCo subsidiaries in PJM</v>
      </c>
      <c r="F3" s="1489" t="str">
        <f>TCOS!$F$5</f>
        <v>AEPTCo subsidiaries in PJM</v>
      </c>
      <c r="G3" s="1489" t="str">
        <f>TCOS!$F$5</f>
        <v>AEPTCo subsidiaries in PJM</v>
      </c>
      <c r="H3" s="21"/>
    </row>
    <row r="4" spans="1:11" ht="12.75" customHeight="1">
      <c r="A4" s="1482" t="str">
        <f>"Cost of Service Formula Rate Using Actual/Projected FF1 Balances"</f>
        <v>Cost of Service Formula Rate Using Actual/Projected FF1 Balances</v>
      </c>
      <c r="B4" s="1482"/>
      <c r="C4" s="1482"/>
      <c r="D4" s="1482"/>
      <c r="E4" s="1482"/>
      <c r="F4" s="1482"/>
      <c r="G4" s="1482"/>
      <c r="H4" s="52"/>
      <c r="I4" s="52"/>
      <c r="J4" s="52"/>
      <c r="K4" s="52"/>
    </row>
    <row r="5" spans="1:11" ht="12.75" customHeight="1">
      <c r="A5" s="1482" t="s">
        <v>278</v>
      </c>
      <c r="B5" s="1482"/>
      <c r="C5" s="1482"/>
      <c r="D5" s="1482"/>
      <c r="E5" s="1482"/>
      <c r="F5" s="1482"/>
      <c r="G5" s="1482"/>
    </row>
    <row r="6" spans="1:11" ht="12.75" customHeight="1">
      <c r="A6" s="1492" t="str">
        <f>TCOS!F9</f>
        <v>AEP Appalachian Transmission Company</v>
      </c>
      <c r="B6" s="1492"/>
      <c r="C6" s="1492"/>
      <c r="D6" s="1492"/>
      <c r="E6" s="1492"/>
      <c r="F6" s="1492"/>
      <c r="G6" s="1492"/>
    </row>
    <row r="7" spans="1:11" ht="12.75" customHeight="1">
      <c r="A7" s="1489"/>
      <c r="B7" s="1489"/>
      <c r="C7" s="1489"/>
      <c r="D7" s="1489"/>
      <c r="E7" s="1489"/>
      <c r="F7" s="1489"/>
      <c r="G7" s="25"/>
    </row>
    <row r="8" spans="1:11" ht="18">
      <c r="A8" s="1523"/>
      <c r="B8" s="1523"/>
      <c r="C8" s="1523"/>
      <c r="D8" s="1523"/>
      <c r="E8" s="1523"/>
      <c r="F8" s="1523"/>
      <c r="G8" s="1523"/>
    </row>
    <row r="9" spans="1:11" ht="18">
      <c r="A9" s="81"/>
      <c r="B9" s="81"/>
      <c r="C9" s="81"/>
      <c r="D9" s="81"/>
      <c r="E9" s="81"/>
      <c r="F9" s="81"/>
      <c r="G9" s="81"/>
    </row>
    <row r="10" spans="1:11" ht="15.75">
      <c r="B10" s="19" t="s">
        <v>452</v>
      </c>
      <c r="C10" s="19" t="s">
        <v>453</v>
      </c>
      <c r="D10" s="19" t="s">
        <v>454</v>
      </c>
      <c r="E10" s="19" t="s">
        <v>455</v>
      </c>
      <c r="F10" s="19" t="s">
        <v>375</v>
      </c>
      <c r="G10" s="19" t="s">
        <v>376</v>
      </c>
    </row>
    <row r="11" spans="1:11" ht="15.75">
      <c r="B11" s="30"/>
      <c r="C11" s="25"/>
      <c r="D11" s="93"/>
      <c r="E11" s="94"/>
      <c r="F11" s="95" t="s">
        <v>378</v>
      </c>
      <c r="G11" s="19"/>
    </row>
    <row r="12" spans="1:11" ht="15.75">
      <c r="A12" s="33" t="s">
        <v>459</v>
      </c>
      <c r="B12" s="30"/>
      <c r="C12" s="39"/>
      <c r="D12" s="33">
        <f>+TCOS!L4</f>
        <v>2025</v>
      </c>
      <c r="E12" s="95" t="s">
        <v>378</v>
      </c>
      <c r="F12" s="33" t="s">
        <v>407</v>
      </c>
      <c r="G12" s="19"/>
    </row>
    <row r="13" spans="1:11" ht="15.75">
      <c r="A13" s="33" t="s">
        <v>397</v>
      </c>
      <c r="B13" s="33" t="s">
        <v>360</v>
      </c>
      <c r="C13" s="33" t="s">
        <v>457</v>
      </c>
      <c r="D13" s="33" t="s">
        <v>361</v>
      </c>
      <c r="E13" s="33" t="s">
        <v>380</v>
      </c>
      <c r="F13" s="33" t="s">
        <v>362</v>
      </c>
      <c r="G13" s="33" t="s">
        <v>363</v>
      </c>
    </row>
    <row r="14" spans="1:11" ht="15.75">
      <c r="A14" s="32"/>
      <c r="B14" s="33"/>
      <c r="C14" s="33"/>
      <c r="D14" s="33"/>
      <c r="E14" s="33"/>
      <c r="F14" s="33"/>
      <c r="G14" s="33"/>
    </row>
    <row r="15" spans="1:11" ht="15.75">
      <c r="A15" s="32"/>
      <c r="B15" s="33"/>
      <c r="C15" s="33"/>
      <c r="D15" s="33"/>
      <c r="E15" s="33"/>
      <c r="F15" s="33"/>
      <c r="G15" s="33"/>
    </row>
    <row r="16" spans="1:11" ht="15.75">
      <c r="A16" s="32"/>
      <c r="B16" s="33"/>
      <c r="D16" s="33"/>
      <c r="E16" s="33"/>
      <c r="F16" s="33"/>
      <c r="G16" s="33"/>
    </row>
    <row r="17" spans="1:7" ht="15.75">
      <c r="A17" s="32"/>
      <c r="B17" s="33"/>
      <c r="C17" s="33" t="s">
        <v>284</v>
      </c>
      <c r="D17" s="23"/>
      <c r="E17" s="23"/>
      <c r="F17" s="23"/>
      <c r="G17" s="50"/>
    </row>
    <row r="18" spans="1:7">
      <c r="A18" s="32">
        <v>1</v>
      </c>
      <c r="B18" s="966"/>
      <c r="C18" s="561"/>
      <c r="D18" s="560"/>
      <c r="E18" s="48"/>
      <c r="F18" s="48"/>
      <c r="G18" s="22"/>
    </row>
    <row r="19" spans="1:7">
      <c r="A19" s="32">
        <f>+A18+1</f>
        <v>2</v>
      </c>
      <c r="B19" s="967"/>
      <c r="C19" s="968"/>
      <c r="D19" s="560"/>
      <c r="E19" s="48"/>
      <c r="F19" s="48"/>
      <c r="G19" s="22"/>
    </row>
    <row r="20" spans="1:7" ht="15.75">
      <c r="A20" s="32">
        <f>+A19+1</f>
        <v>3</v>
      </c>
      <c r="B20" s="969"/>
      <c r="C20" s="561"/>
      <c r="D20" s="560"/>
      <c r="E20" s="48"/>
      <c r="F20" s="48"/>
      <c r="G20" s="22"/>
    </row>
    <row r="21" spans="1:7" ht="15.75">
      <c r="A21" s="32">
        <f>+A20+1</f>
        <v>4</v>
      </c>
      <c r="B21" s="33"/>
      <c r="C21" s="107" t="s">
        <v>410</v>
      </c>
      <c r="D21" s="41">
        <f>SUM(D18:D20)</f>
        <v>0</v>
      </c>
      <c r="E21" s="48"/>
      <c r="F21" s="48"/>
      <c r="G21" s="33"/>
    </row>
    <row r="22" spans="1:7" ht="15.75">
      <c r="A22" s="32"/>
      <c r="B22" s="33"/>
      <c r="C22" s="107"/>
      <c r="D22" s="114"/>
      <c r="E22" s="23"/>
      <c r="F22" s="23"/>
      <c r="G22" s="33"/>
    </row>
    <row r="23" spans="1:7" ht="15.75">
      <c r="A23" s="10"/>
      <c r="B23" s="33"/>
      <c r="C23" s="33" t="s">
        <v>191</v>
      </c>
      <c r="D23" s="130"/>
      <c r="E23" s="23"/>
      <c r="F23" s="23"/>
      <c r="G23" s="33"/>
    </row>
    <row r="24" spans="1:7" ht="15.75">
      <c r="A24" s="32">
        <f>+A21+1</f>
        <v>5</v>
      </c>
      <c r="B24" s="138"/>
      <c r="C24" s="136"/>
      <c r="D24" s="1254"/>
      <c r="E24" s="23"/>
      <c r="F24" s="23"/>
      <c r="G24" s="33"/>
    </row>
    <row r="25" spans="1:7" ht="15.75">
      <c r="A25" s="137">
        <f>+A24+1</f>
        <v>6</v>
      </c>
      <c r="B25" s="138" t="s">
        <v>177</v>
      </c>
      <c r="C25" s="138" t="s">
        <v>174</v>
      </c>
      <c r="D25" s="560">
        <v>0</v>
      </c>
      <c r="E25" s="23"/>
      <c r="F25" s="23"/>
      <c r="G25" s="33"/>
    </row>
    <row r="26" spans="1:7" ht="15.75">
      <c r="A26" s="32">
        <f>+A25+1</f>
        <v>7</v>
      </c>
      <c r="B26" s="136" t="s">
        <v>178</v>
      </c>
      <c r="C26" s="136" t="s">
        <v>175</v>
      </c>
      <c r="D26" s="560">
        <v>145947.32111147846</v>
      </c>
      <c r="E26" s="23"/>
      <c r="F26" s="23"/>
      <c r="G26" s="33"/>
    </row>
    <row r="27" spans="1:7" ht="15.75">
      <c r="A27" s="137">
        <f t="shared" ref="A27:A32" si="0">+A26+1</f>
        <v>8</v>
      </c>
      <c r="B27" s="138" t="s">
        <v>179</v>
      </c>
      <c r="C27" s="138" t="s">
        <v>176</v>
      </c>
      <c r="D27" s="560">
        <v>0</v>
      </c>
      <c r="E27" s="23"/>
      <c r="F27" s="23"/>
      <c r="G27" s="33"/>
    </row>
    <row r="28" spans="1:7" ht="15.75">
      <c r="A28" s="32">
        <f t="shared" si="0"/>
        <v>9</v>
      </c>
      <c r="B28" s="136" t="s">
        <v>180</v>
      </c>
      <c r="C28" s="136" t="s">
        <v>184</v>
      </c>
      <c r="D28" s="560">
        <v>0</v>
      </c>
      <c r="E28" s="23"/>
      <c r="F28" s="23"/>
      <c r="G28" s="33"/>
    </row>
    <row r="29" spans="1:7" ht="15.75">
      <c r="A29" s="137">
        <f t="shared" si="0"/>
        <v>10</v>
      </c>
      <c r="B29" s="138" t="s">
        <v>181</v>
      </c>
      <c r="C29" s="138" t="s">
        <v>187</v>
      </c>
      <c r="D29" s="560">
        <v>28480.74296038154</v>
      </c>
      <c r="E29" s="23"/>
      <c r="F29" s="23"/>
      <c r="G29" s="33"/>
    </row>
    <row r="30" spans="1:7" ht="15.75">
      <c r="A30" s="32">
        <f t="shared" si="0"/>
        <v>11</v>
      </c>
      <c r="B30" s="136" t="s">
        <v>182</v>
      </c>
      <c r="C30" s="136" t="s">
        <v>188</v>
      </c>
      <c r="D30" s="560">
        <v>0</v>
      </c>
      <c r="E30" s="23"/>
      <c r="F30" s="23"/>
      <c r="G30" s="33"/>
    </row>
    <row r="31" spans="1:7" ht="15.75">
      <c r="A31" s="137">
        <f t="shared" si="0"/>
        <v>12</v>
      </c>
      <c r="B31" s="138" t="s">
        <v>183</v>
      </c>
      <c r="C31" s="138" t="s">
        <v>189</v>
      </c>
      <c r="D31" s="560">
        <v>0</v>
      </c>
      <c r="E31" s="23"/>
      <c r="F31" s="23"/>
      <c r="G31" s="33"/>
    </row>
    <row r="32" spans="1:7" ht="15.75">
      <c r="A32" s="32">
        <f t="shared" si="0"/>
        <v>13</v>
      </c>
      <c r="B32" s="136" t="s">
        <v>185</v>
      </c>
      <c r="C32" s="136" t="s">
        <v>190</v>
      </c>
      <c r="D32" s="560">
        <v>0</v>
      </c>
      <c r="E32" s="23"/>
      <c r="F32" s="23"/>
      <c r="G32" s="33"/>
    </row>
    <row r="33" spans="1:19" ht="15.75">
      <c r="A33" s="137">
        <f>+A32+1</f>
        <v>14</v>
      </c>
      <c r="B33" s="138"/>
      <c r="C33" s="19" t="s">
        <v>186</v>
      </c>
      <c r="D33" s="41">
        <f>SUM(D24:D32)</f>
        <v>174428.06407185999</v>
      </c>
      <c r="E33" s="33"/>
      <c r="F33" s="33"/>
      <c r="G33" s="33"/>
    </row>
    <row r="34" spans="1:19" ht="15.75">
      <c r="A34" s="106"/>
      <c r="B34" s="47"/>
      <c r="C34" s="33"/>
      <c r="D34" s="33"/>
      <c r="E34" s="33"/>
      <c r="F34" s="33"/>
      <c r="G34" s="33"/>
    </row>
    <row r="35" spans="1:19" ht="15.75">
      <c r="A35" s="106"/>
      <c r="B35" s="32"/>
      <c r="C35" s="55" t="s">
        <v>494</v>
      </c>
      <c r="D35" s="25"/>
      <c r="E35" s="25"/>
      <c r="F35" s="25"/>
      <c r="G35" s="25"/>
    </row>
    <row r="36" spans="1:19">
      <c r="A36" s="32">
        <f>+A33+1</f>
        <v>15</v>
      </c>
      <c r="B36" s="966" t="s">
        <v>918</v>
      </c>
      <c r="C36" s="561" t="s">
        <v>919</v>
      </c>
      <c r="D36" s="560">
        <v>0</v>
      </c>
      <c r="E36" s="1254">
        <v>0</v>
      </c>
      <c r="F36" s="1254">
        <v>0</v>
      </c>
      <c r="G36" s="22"/>
    </row>
    <row r="37" spans="1:19">
      <c r="A37" s="32">
        <f>+A36+1</f>
        <v>16</v>
      </c>
      <c r="B37" s="966" t="s">
        <v>920</v>
      </c>
      <c r="C37" s="561" t="s">
        <v>921</v>
      </c>
      <c r="D37" s="560">
        <v>0</v>
      </c>
      <c r="E37" s="1254">
        <v>0</v>
      </c>
      <c r="F37" s="1254">
        <v>0</v>
      </c>
      <c r="G37" s="22"/>
    </row>
    <row r="38" spans="1:19">
      <c r="A38" s="32">
        <f>+A37+1</f>
        <v>17</v>
      </c>
      <c r="B38" s="966" t="s">
        <v>922</v>
      </c>
      <c r="C38" s="561" t="s">
        <v>923</v>
      </c>
      <c r="D38" s="560">
        <v>0</v>
      </c>
      <c r="E38" s="1254">
        <v>0</v>
      </c>
      <c r="F38" s="1254">
        <v>0</v>
      </c>
      <c r="G38" s="22"/>
    </row>
    <row r="39" spans="1:19">
      <c r="A39" s="32">
        <f>+A38+1</f>
        <v>18</v>
      </c>
      <c r="B39" s="966" t="s">
        <v>924</v>
      </c>
      <c r="C39" s="561" t="s">
        <v>925</v>
      </c>
      <c r="D39" s="560">
        <v>0</v>
      </c>
      <c r="E39" s="1254">
        <v>0</v>
      </c>
      <c r="F39" s="1254">
        <v>0</v>
      </c>
      <c r="G39" s="50"/>
    </row>
    <row r="40" spans="1:19">
      <c r="A40" s="32">
        <f>+A39+1</f>
        <v>19</v>
      </c>
      <c r="B40" s="966"/>
      <c r="C40" s="561"/>
      <c r="D40" s="560"/>
      <c r="E40" s="23"/>
      <c r="F40" s="23"/>
      <c r="G40" s="50"/>
    </row>
    <row r="41" spans="1:19">
      <c r="A41" s="32">
        <f>+A40+1</f>
        <v>20</v>
      </c>
      <c r="B41" s="966"/>
      <c r="C41" s="561"/>
      <c r="D41" s="560"/>
      <c r="E41" s="23"/>
      <c r="F41" s="23"/>
      <c r="G41" s="50"/>
    </row>
    <row r="42" spans="1:19">
      <c r="A42" s="32"/>
      <c r="B42" s="54"/>
      <c r="C42" s="43"/>
      <c r="D42" s="23"/>
      <c r="E42" s="23"/>
      <c r="F42" s="23"/>
      <c r="G42" s="22"/>
    </row>
    <row r="43" spans="1:19" ht="12.75" customHeight="1">
      <c r="A43" s="32"/>
      <c r="B43" s="24" t="s">
        <v>406</v>
      </c>
      <c r="C43" s="43"/>
      <c r="D43" s="26"/>
      <c r="E43" s="27"/>
      <c r="F43" s="28"/>
      <c r="G43" s="25"/>
    </row>
    <row r="44" spans="1:19" ht="15.75" customHeight="1">
      <c r="A44" s="32">
        <f>+A41+1</f>
        <v>21</v>
      </c>
      <c r="B44" s="30"/>
      <c r="C44" s="1255" t="s">
        <v>629</v>
      </c>
      <c r="D44" s="41">
        <f>SUM(D36:D42)</f>
        <v>0</v>
      </c>
      <c r="E44" s="41">
        <f>SUM(E36:E42)</f>
        <v>0</v>
      </c>
      <c r="F44" s="41">
        <f>SUM(F36:F42)</f>
        <v>0</v>
      </c>
      <c r="G44" s="13"/>
    </row>
    <row r="45" spans="1:19" ht="12.75" customHeight="1">
      <c r="A45" s="32"/>
      <c r="B45" s="30"/>
      <c r="C45" s="31"/>
      <c r="D45" s="46"/>
      <c r="E45" s="16"/>
      <c r="F45" s="16"/>
      <c r="G45" s="25"/>
    </row>
    <row r="46" spans="1:19" ht="15.75">
      <c r="A46" s="32"/>
      <c r="B46" s="32"/>
      <c r="C46" s="55" t="s">
        <v>493</v>
      </c>
      <c r="D46" s="16"/>
      <c r="E46" s="16"/>
      <c r="F46" s="16"/>
      <c r="G46" s="25"/>
    </row>
    <row r="47" spans="1:19">
      <c r="A47" s="32">
        <f>+A44+1</f>
        <v>22</v>
      </c>
      <c r="B47" s="966" t="s">
        <v>926</v>
      </c>
      <c r="C47" s="561" t="s">
        <v>927</v>
      </c>
      <c r="D47" s="562">
        <v>0</v>
      </c>
      <c r="E47" s="1410">
        <v>0</v>
      </c>
      <c r="F47" s="1410">
        <v>0</v>
      </c>
      <c r="G47"/>
      <c r="M47" s="12"/>
      <c r="N47" s="44"/>
      <c r="O47" s="45"/>
      <c r="P47" s="45"/>
      <c r="Q47" s="45"/>
      <c r="R47" s="45"/>
      <c r="S47" s="14"/>
    </row>
    <row r="48" spans="1:19">
      <c r="A48" s="32">
        <f>+A47+1</f>
        <v>23</v>
      </c>
      <c r="B48" s="966" t="s">
        <v>928</v>
      </c>
      <c r="C48" s="561" t="s">
        <v>929</v>
      </c>
      <c r="D48" s="562">
        <v>0</v>
      </c>
      <c r="E48" s="1410">
        <v>0</v>
      </c>
      <c r="F48" s="1410">
        <v>0</v>
      </c>
      <c r="G48"/>
      <c r="M48" s="12"/>
      <c r="N48" s="44"/>
      <c r="O48" s="45"/>
      <c r="P48" s="45"/>
      <c r="Q48" s="45"/>
      <c r="R48" s="45"/>
      <c r="S48" s="14"/>
    </row>
    <row r="49" spans="1:19">
      <c r="A49" s="32">
        <f t="shared" ref="A49:A62" si="1">+A48+1</f>
        <v>24</v>
      </c>
      <c r="B49" s="966" t="s">
        <v>930</v>
      </c>
      <c r="C49" s="561" t="s">
        <v>931</v>
      </c>
      <c r="D49" s="562">
        <v>0</v>
      </c>
      <c r="E49" s="1410">
        <v>0</v>
      </c>
      <c r="F49" s="1410">
        <v>0</v>
      </c>
      <c r="G49"/>
      <c r="M49" s="12"/>
      <c r="N49" s="44"/>
      <c r="O49" s="45"/>
      <c r="P49" s="45"/>
      <c r="Q49" s="45"/>
      <c r="R49" s="45"/>
      <c r="S49" s="14"/>
    </row>
    <row r="50" spans="1:19">
      <c r="A50" s="32">
        <f t="shared" si="1"/>
        <v>25</v>
      </c>
      <c r="B50" s="966" t="s">
        <v>932</v>
      </c>
      <c r="C50" s="561" t="s">
        <v>933</v>
      </c>
      <c r="D50" s="562">
        <v>0</v>
      </c>
      <c r="E50" s="1410">
        <v>0</v>
      </c>
      <c r="F50" s="1410">
        <v>0</v>
      </c>
      <c r="G50"/>
      <c r="M50" s="12"/>
      <c r="N50" s="44"/>
      <c r="O50" s="45"/>
      <c r="P50" s="45"/>
      <c r="Q50" s="45"/>
      <c r="R50" s="45"/>
      <c r="S50" s="14"/>
    </row>
    <row r="51" spans="1:19">
      <c r="A51" s="32">
        <f t="shared" si="1"/>
        <v>26</v>
      </c>
      <c r="B51" s="966" t="s">
        <v>934</v>
      </c>
      <c r="C51" s="561" t="s">
        <v>935</v>
      </c>
      <c r="D51" s="562">
        <v>0</v>
      </c>
      <c r="E51" s="1410">
        <v>0</v>
      </c>
      <c r="F51" s="1410">
        <v>0</v>
      </c>
      <c r="G51"/>
      <c r="M51" s="12"/>
      <c r="N51" s="44"/>
      <c r="O51" s="45"/>
      <c r="P51" s="45"/>
      <c r="Q51" s="45"/>
      <c r="R51" s="45"/>
      <c r="S51" s="14"/>
    </row>
    <row r="52" spans="1:19">
      <c r="A52" s="32">
        <f t="shared" si="1"/>
        <v>27</v>
      </c>
      <c r="B52" s="966" t="s">
        <v>936</v>
      </c>
      <c r="C52" s="561" t="s">
        <v>937</v>
      </c>
      <c r="D52" s="562">
        <v>0</v>
      </c>
      <c r="E52" s="1410">
        <v>0</v>
      </c>
      <c r="F52" s="1410">
        <v>0</v>
      </c>
      <c r="G52"/>
      <c r="M52" s="12"/>
      <c r="N52" s="44"/>
      <c r="O52" s="45"/>
      <c r="P52" s="45"/>
      <c r="Q52" s="45"/>
      <c r="R52" s="45"/>
      <c r="S52" s="14"/>
    </row>
    <row r="53" spans="1:19">
      <c r="A53" s="32">
        <f t="shared" si="1"/>
        <v>28</v>
      </c>
      <c r="B53" s="966"/>
      <c r="C53" s="561"/>
      <c r="D53" s="562"/>
      <c r="E53" s="23"/>
      <c r="F53" s="23"/>
      <c r="G53"/>
      <c r="M53" s="12"/>
      <c r="N53" s="44"/>
      <c r="O53" s="45"/>
      <c r="P53" s="45"/>
      <c r="Q53" s="45"/>
      <c r="R53" s="45"/>
      <c r="S53" s="14"/>
    </row>
    <row r="54" spans="1:19">
      <c r="A54" s="32">
        <f t="shared" si="1"/>
        <v>29</v>
      </c>
      <c r="B54" s="966"/>
      <c r="C54" s="561"/>
      <c r="D54" s="562"/>
      <c r="E54" s="23"/>
      <c r="F54" s="23"/>
      <c r="G54"/>
      <c r="M54" s="12"/>
      <c r="N54" s="44"/>
      <c r="O54" s="45"/>
      <c r="P54" s="45"/>
      <c r="Q54" s="45"/>
      <c r="R54" s="45"/>
      <c r="S54" s="14"/>
    </row>
    <row r="55" spans="1:19">
      <c r="A55" s="32">
        <f t="shared" si="1"/>
        <v>30</v>
      </c>
      <c r="B55" s="966"/>
      <c r="C55" s="561"/>
      <c r="D55" s="562"/>
      <c r="E55" s="23"/>
      <c r="F55" s="23"/>
      <c r="G55"/>
      <c r="M55" s="12"/>
      <c r="N55" s="44"/>
      <c r="O55" s="45"/>
      <c r="P55" s="45"/>
      <c r="Q55" s="45"/>
      <c r="R55" s="45"/>
      <c r="S55" s="14"/>
    </row>
    <row r="56" spans="1:19">
      <c r="A56" s="32">
        <f t="shared" si="1"/>
        <v>31</v>
      </c>
      <c r="B56" s="966"/>
      <c r="C56" s="561"/>
      <c r="D56" s="562"/>
      <c r="E56" s="23"/>
      <c r="F56" s="23"/>
      <c r="G56"/>
      <c r="M56" s="12"/>
      <c r="N56" s="44"/>
      <c r="O56" s="45"/>
      <c r="P56" s="45"/>
      <c r="Q56" s="45"/>
      <c r="R56" s="45"/>
      <c r="S56" s="14"/>
    </row>
    <row r="57" spans="1:19">
      <c r="A57" s="32">
        <f t="shared" si="1"/>
        <v>32</v>
      </c>
      <c r="B57" s="966"/>
      <c r="C57" s="561"/>
      <c r="D57" s="562"/>
      <c r="E57" s="23"/>
      <c r="F57" s="29"/>
      <c r="G57"/>
      <c r="M57" s="12"/>
      <c r="N57" s="44"/>
      <c r="O57" s="45"/>
      <c r="P57" s="45"/>
      <c r="Q57" s="45"/>
      <c r="R57" s="45"/>
      <c r="S57" s="14"/>
    </row>
    <row r="58" spans="1:19">
      <c r="A58" s="32">
        <f t="shared" si="1"/>
        <v>33</v>
      </c>
      <c r="B58" s="966"/>
      <c r="C58" s="561"/>
      <c r="D58" s="562"/>
      <c r="E58" s="23"/>
      <c r="F58" s="29"/>
      <c r="G58"/>
    </row>
    <row r="59" spans="1:19">
      <c r="A59" s="32">
        <f t="shared" si="1"/>
        <v>34</v>
      </c>
      <c r="B59" s="966"/>
      <c r="C59" s="561"/>
      <c r="D59" s="562"/>
      <c r="E59" s="23"/>
      <c r="F59" s="29"/>
      <c r="G59" s="25"/>
    </row>
    <row r="60" spans="1:19">
      <c r="A60" s="32">
        <f t="shared" si="1"/>
        <v>35</v>
      </c>
      <c r="B60" s="966"/>
      <c r="C60" s="561"/>
      <c r="D60" s="562"/>
      <c r="E60" s="23"/>
      <c r="F60" s="29"/>
      <c r="G60" s="25"/>
    </row>
    <row r="61" spans="1:19">
      <c r="A61" s="32">
        <f t="shared" si="1"/>
        <v>36</v>
      </c>
      <c r="B61" s="966"/>
      <c r="C61" s="561"/>
      <c r="D61" s="562"/>
      <c r="E61" s="23"/>
      <c r="F61" s="29"/>
      <c r="G61" s="25"/>
    </row>
    <row r="62" spans="1:19">
      <c r="A62" s="32">
        <f t="shared" si="1"/>
        <v>37</v>
      </c>
      <c r="B62" s="966"/>
      <c r="C62" s="561"/>
      <c r="D62" s="562"/>
      <c r="E62" s="23"/>
      <c r="F62" s="29"/>
      <c r="G62" s="25"/>
    </row>
    <row r="63" spans="1:19">
      <c r="A63" s="32"/>
      <c r="B63" s="24"/>
      <c r="C63" s="25"/>
      <c r="D63" s="34"/>
      <c r="E63" s="35"/>
      <c r="F63" s="34"/>
      <c r="G63" s="25"/>
    </row>
    <row r="64" spans="1:19" ht="15.75">
      <c r="A64" s="32">
        <f>+A62+1</f>
        <v>38</v>
      </c>
      <c r="B64" s="30"/>
      <c r="C64" s="1255" t="s">
        <v>630</v>
      </c>
      <c r="D64" s="36">
        <f>SUM(D47:D63)</f>
        <v>0</v>
      </c>
      <c r="E64" s="36">
        <f>SUM(E47:E63)</f>
        <v>0</v>
      </c>
      <c r="F64" s="36">
        <f>SUM(F47:F63)</f>
        <v>0</v>
      </c>
      <c r="G64" s="13"/>
    </row>
    <row r="65" spans="1:11" ht="12.75" customHeight="1">
      <c r="A65" s="32"/>
      <c r="B65" s="20"/>
      <c r="C65" s="20"/>
      <c r="D65" s="20"/>
      <c r="E65" s="20"/>
      <c r="F65" s="20"/>
      <c r="G65" s="20"/>
    </row>
    <row r="66" spans="1:11" ht="15.75">
      <c r="A66" s="32"/>
      <c r="B66" s="19"/>
      <c r="C66" s="55" t="s">
        <v>492</v>
      </c>
      <c r="D66" s="37"/>
      <c r="E66" s="37"/>
      <c r="F66" s="37"/>
      <c r="G66" s="19"/>
    </row>
    <row r="67" spans="1:11">
      <c r="A67" s="32">
        <f>+A64+1</f>
        <v>39</v>
      </c>
      <c r="B67" s="966" t="s">
        <v>888</v>
      </c>
      <c r="C67" s="1409" t="s">
        <v>889</v>
      </c>
      <c r="D67" s="562">
        <v>4954.8765119696363</v>
      </c>
      <c r="E67" s="23">
        <f>D67</f>
        <v>4954.8765119696363</v>
      </c>
      <c r="F67" s="29">
        <v>0</v>
      </c>
      <c r="G67" s="12"/>
      <c r="H67" s="44"/>
      <c r="J67" s="14"/>
      <c r="K67" s="14"/>
    </row>
    <row r="68" spans="1:11">
      <c r="A68" s="32">
        <f>+A67+1</f>
        <v>40</v>
      </c>
      <c r="B68" s="966" t="s">
        <v>890</v>
      </c>
      <c r="C68" s="1409" t="s">
        <v>891</v>
      </c>
      <c r="D68" s="562">
        <v>1196.4838232749789</v>
      </c>
      <c r="E68" s="23">
        <f>D68</f>
        <v>1196.4838232749789</v>
      </c>
      <c r="F68" s="29">
        <v>0</v>
      </c>
      <c r="G68" s="12"/>
      <c r="H68" s="44"/>
      <c r="J68" s="14"/>
      <c r="K68" s="14"/>
    </row>
    <row r="69" spans="1:11">
      <c r="A69" s="32">
        <f>+A68+1</f>
        <v>41</v>
      </c>
      <c r="B69" s="1408" t="s">
        <v>912</v>
      </c>
      <c r="C69" s="1409" t="s">
        <v>917</v>
      </c>
      <c r="D69" s="562">
        <v>183.8857463299544</v>
      </c>
      <c r="E69" s="23">
        <f>D69</f>
        <v>183.8857463299544</v>
      </c>
      <c r="F69" s="29">
        <v>0</v>
      </c>
      <c r="G69" s="12"/>
      <c r="H69" s="44"/>
      <c r="J69" s="14"/>
      <c r="K69" s="14"/>
    </row>
    <row r="70" spans="1:11">
      <c r="A70" s="32">
        <f>+A69+1</f>
        <v>42</v>
      </c>
      <c r="B70" s="966" t="s">
        <v>892</v>
      </c>
      <c r="C70" s="1409" t="s">
        <v>893</v>
      </c>
      <c r="D70" s="562">
        <v>287.31901828636103</v>
      </c>
      <c r="E70" s="23">
        <f>F70-D70</f>
        <v>0</v>
      </c>
      <c r="F70" s="29">
        <f>D70</f>
        <v>287.31901828636103</v>
      </c>
      <c r="G70" s="20"/>
    </row>
    <row r="71" spans="1:11">
      <c r="A71" s="32"/>
      <c r="B71" s="20"/>
      <c r="C71" s="20"/>
      <c r="D71" s="20"/>
      <c r="E71" s="20"/>
      <c r="F71" s="20"/>
      <c r="G71" s="20"/>
    </row>
    <row r="72" spans="1:11" ht="15.75">
      <c r="A72" s="32">
        <f>+A70+1</f>
        <v>43</v>
      </c>
      <c r="B72" s="20"/>
      <c r="C72" s="1255" t="s">
        <v>631</v>
      </c>
      <c r="D72" s="36">
        <f>SUM(D67:D71)</f>
        <v>6622.5650998609308</v>
      </c>
      <c r="E72" s="36">
        <f>SUM(E67:E71)</f>
        <v>6335.2460815745699</v>
      </c>
      <c r="F72" s="36">
        <f>SUM(F67:F71)</f>
        <v>287.31901828636103</v>
      </c>
      <c r="G72" s="13"/>
    </row>
    <row r="73" spans="1:11">
      <c r="A73" s="32"/>
      <c r="B73" s="49"/>
      <c r="C73" s="9"/>
      <c r="D73" s="9"/>
      <c r="E73" s="9"/>
      <c r="F73" s="9"/>
      <c r="G73" s="9"/>
    </row>
    <row r="74" spans="1:11" ht="12.75">
      <c r="A74" s="108"/>
      <c r="B74"/>
      <c r="C74"/>
      <c r="D74"/>
      <c r="E74"/>
      <c r="F74"/>
    </row>
    <row r="75" spans="1:11" ht="12.75">
      <c r="A75" s="108"/>
      <c r="B75"/>
      <c r="C75"/>
      <c r="D75"/>
      <c r="E75"/>
      <c r="F75"/>
    </row>
  </sheetData>
  <mergeCells count="6">
    <mergeCell ref="A3:G3"/>
    <mergeCell ref="A8:G8"/>
    <mergeCell ref="A7:F7"/>
    <mergeCell ref="A4:G4"/>
    <mergeCell ref="A5:G5"/>
    <mergeCell ref="A6:G6"/>
  </mergeCells>
  <phoneticPr fontId="0" type="noConversion"/>
  <pageMargins left="1.27" right="1.28" top="0.8" bottom="0.67" header="0.75" footer="0.4"/>
  <pageSetup scale="48" orientation="landscape" r:id="rId1"/>
  <headerFooter alignWithMargins="0">
    <oddHeader>&amp;R&amp;"Arial,Bold"Formula Rate 
&amp;A
Page &amp;P of &amp;N</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pageSetUpPr fitToPage="1"/>
  </sheetPr>
  <dimension ref="A1:O241"/>
  <sheetViews>
    <sheetView zoomScaleNormal="100" workbookViewId="0">
      <selection activeCell="E15" sqref="E15"/>
    </sheetView>
  </sheetViews>
  <sheetFormatPr defaultColWidth="8.85546875" defaultRowHeight="12.75"/>
  <cols>
    <col min="1" max="1" width="8.85546875" style="173"/>
    <col min="2" max="2" width="32.5703125" style="173" customWidth="1"/>
    <col min="3" max="4" width="8.85546875" style="173"/>
    <col min="5" max="5" width="15" style="173" customWidth="1"/>
    <col min="6" max="6" width="12.85546875" style="173" bestFit="1" customWidth="1"/>
    <col min="7" max="7" width="10.85546875" style="173" customWidth="1"/>
    <col min="8" max="8" width="2.85546875" style="173" customWidth="1"/>
    <col min="9" max="9" width="16.5703125" style="173" bestFit="1" customWidth="1"/>
    <col min="10" max="10" width="2.140625" style="173" customWidth="1"/>
    <col min="11" max="11" width="14.5703125" style="173" bestFit="1" customWidth="1"/>
    <col min="12" max="12" width="4.85546875" style="173" customWidth="1"/>
    <col min="13" max="13" width="16" style="173" bestFit="1" customWidth="1"/>
    <col min="14" max="14" width="2.140625" style="173" customWidth="1"/>
    <col min="15" max="15" width="14.28515625" style="173" bestFit="1" customWidth="1"/>
    <col min="16" max="16384" width="8.85546875" style="173"/>
  </cols>
  <sheetData>
    <row r="1" spans="1:15" ht="15.75">
      <c r="A1" s="1005" t="s">
        <v>406</v>
      </c>
    </row>
    <row r="2" spans="1:15" ht="15.75">
      <c r="A2" s="1005" t="s">
        <v>406</v>
      </c>
    </row>
    <row r="3" spans="1:15" ht="15">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1481" t="str">
        <f>TCOS!$F$5</f>
        <v>AEPTCo subsidiaries in PJM</v>
      </c>
      <c r="G3" s="1481" t="str">
        <f>TCOS!$F$5</f>
        <v>AEPTCo subsidiaries in PJM</v>
      </c>
      <c r="H3" s="1481" t="str">
        <f>TCOS!$F$5</f>
        <v>AEPTCo subsidiaries in PJM</v>
      </c>
    </row>
    <row r="4" spans="1:15" ht="15">
      <c r="A4" s="1509" t="str">
        <f>"Cost of Service Formula Rate Using Actual/Projected FF1 Balances"</f>
        <v>Cost of Service Formula Rate Using Actual/Projected FF1 Balances</v>
      </c>
      <c r="B4" s="1509"/>
      <c r="C4" s="1509"/>
      <c r="D4" s="1509"/>
      <c r="E4" s="1509"/>
      <c r="F4" s="1509"/>
      <c r="G4" s="1509"/>
      <c r="H4" s="1509"/>
    </row>
    <row r="5" spans="1:15" ht="15">
      <c r="A5" s="1509" t="s">
        <v>328</v>
      </c>
      <c r="B5" s="1509"/>
      <c r="C5" s="1509"/>
      <c r="D5" s="1509"/>
      <c r="E5" s="1509"/>
      <c r="F5" s="1509"/>
      <c r="G5" s="1509"/>
      <c r="H5" s="1509"/>
    </row>
    <row r="6" spans="1:15" ht="15">
      <c r="A6" s="1510" t="str">
        <f>TCOS!F9</f>
        <v>AEP Appalachian Transmission Company</v>
      </c>
      <c r="B6" s="1510"/>
      <c r="C6" s="1510"/>
      <c r="D6" s="1510"/>
      <c r="E6" s="1510"/>
      <c r="F6" s="1510"/>
      <c r="G6" s="1510"/>
    </row>
    <row r="7" spans="1:15" ht="12.75" customHeight="1">
      <c r="A7" s="563"/>
      <c r="B7" s="564"/>
      <c r="C7" s="564"/>
      <c r="D7" s="564"/>
      <c r="E7" s="564"/>
      <c r="F7" s="564"/>
      <c r="G7" s="564"/>
      <c r="H7" s="564"/>
      <c r="I7" s="564"/>
      <c r="J7" s="564"/>
      <c r="O7" s="565"/>
    </row>
    <row r="8" spans="1:15" ht="12.75" customHeight="1">
      <c r="A8" s="563"/>
      <c r="B8" s="421"/>
      <c r="C8" s="394"/>
      <c r="D8" s="394"/>
      <c r="E8" s="394"/>
      <c r="F8" s="394"/>
    </row>
    <row r="9" spans="1:15" ht="15">
      <c r="A9" s="566">
        <v>1</v>
      </c>
      <c r="B9" s="577" t="s">
        <v>804</v>
      </c>
      <c r="C9" s="568"/>
      <c r="D9" s="569"/>
      <c r="E9" s="575">
        <v>6.5000000000000002E-2</v>
      </c>
      <c r="F9" s="394"/>
      <c r="G9" s="570"/>
      <c r="H9" s="570"/>
      <c r="L9" s="571"/>
    </row>
    <row r="10" spans="1:15" ht="15">
      <c r="A10" s="571"/>
      <c r="B10" s="567" t="s">
        <v>617</v>
      </c>
      <c r="C10" s="568"/>
      <c r="D10" s="568"/>
      <c r="E10" s="576">
        <v>0.99890000000000001</v>
      </c>
      <c r="F10" s="394"/>
      <c r="G10" s="570"/>
      <c r="H10" s="570"/>
      <c r="L10" s="571"/>
    </row>
    <row r="11" spans="1:15" ht="15">
      <c r="A11" s="571"/>
      <c r="B11" s="567" t="s">
        <v>228</v>
      </c>
      <c r="C11" s="568"/>
      <c r="D11" s="568"/>
      <c r="E11" s="393"/>
      <c r="F11" s="572">
        <f>ROUND(E9*E10,4)</f>
        <v>6.4899999999999999E-2</v>
      </c>
      <c r="G11" s="570"/>
      <c r="L11" s="571"/>
    </row>
    <row r="12" spans="1:15" ht="15">
      <c r="A12" s="571"/>
      <c r="B12" s="567"/>
      <c r="C12" s="568"/>
      <c r="D12" s="568"/>
      <c r="E12" s="393"/>
      <c r="F12" s="572"/>
      <c r="G12" s="570"/>
      <c r="L12" s="571"/>
    </row>
    <row r="13" spans="1:15" ht="15">
      <c r="A13" s="571">
        <f>A9+1</f>
        <v>2</v>
      </c>
      <c r="B13" s="577" t="s">
        <v>805</v>
      </c>
      <c r="C13" s="568"/>
      <c r="D13" s="569"/>
      <c r="E13" s="575">
        <v>0.06</v>
      </c>
      <c r="F13" s="394"/>
      <c r="G13" s="570"/>
      <c r="L13" s="571"/>
    </row>
    <row r="14" spans="1:15" ht="15">
      <c r="A14" s="571"/>
      <c r="B14" s="567" t="s">
        <v>617</v>
      </c>
      <c r="C14" s="568"/>
      <c r="D14" s="568"/>
      <c r="E14" s="576">
        <v>3.3999999999999998E-3</v>
      </c>
      <c r="F14" s="394"/>
      <c r="G14" s="570"/>
      <c r="L14" s="571"/>
    </row>
    <row r="15" spans="1:15" ht="15">
      <c r="A15" s="571"/>
      <c r="B15" s="567" t="s">
        <v>228</v>
      </c>
      <c r="C15" s="568"/>
      <c r="D15" s="568"/>
      <c r="E15" s="393"/>
      <c r="F15" s="572">
        <f>ROUND(E13*E14,4)</f>
        <v>2.0000000000000001E-4</v>
      </c>
      <c r="G15" s="570"/>
      <c r="L15" s="571"/>
    </row>
    <row r="16" spans="1:15" ht="15">
      <c r="A16" s="571"/>
      <c r="B16" s="567"/>
      <c r="C16" s="568"/>
      <c r="D16" s="568"/>
      <c r="E16" s="393"/>
      <c r="F16" s="572"/>
      <c r="G16" s="570"/>
      <c r="L16" s="571"/>
    </row>
    <row r="17" spans="1:12" ht="15">
      <c r="A17" s="571">
        <f>A13+1</f>
        <v>3</v>
      </c>
      <c r="B17" s="577" t="s">
        <v>105</v>
      </c>
      <c r="C17" s="568"/>
      <c r="D17" s="569"/>
      <c r="E17" s="575"/>
      <c r="F17" s="394"/>
      <c r="G17" s="570"/>
      <c r="L17" s="571"/>
    </row>
    <row r="18" spans="1:12" ht="15">
      <c r="A18" s="571"/>
      <c r="B18" s="567" t="s">
        <v>617</v>
      </c>
      <c r="C18" s="568"/>
      <c r="D18" s="568"/>
      <c r="E18" s="576"/>
      <c r="F18" s="394"/>
      <c r="G18" s="570"/>
      <c r="L18" s="571"/>
    </row>
    <row r="19" spans="1:12" ht="15">
      <c r="A19" s="571"/>
      <c r="B19" s="567" t="s">
        <v>228</v>
      </c>
      <c r="C19" s="568"/>
      <c r="D19" s="568"/>
      <c r="E19" s="393"/>
      <c r="F19" s="572">
        <f>ROUND(E17*E18,4)</f>
        <v>0</v>
      </c>
      <c r="G19" s="570"/>
      <c r="L19" s="571"/>
    </row>
    <row r="20" spans="1:12" ht="15">
      <c r="A20" s="571"/>
      <c r="B20" s="567"/>
      <c r="C20" s="568"/>
      <c r="D20" s="568"/>
      <c r="E20" s="393"/>
      <c r="F20" s="572"/>
      <c r="G20" s="570"/>
      <c r="L20" s="571"/>
    </row>
    <row r="21" spans="1:12" ht="15">
      <c r="A21" s="571">
        <f>A17+1</f>
        <v>4</v>
      </c>
      <c r="B21" s="577" t="s">
        <v>105</v>
      </c>
      <c r="C21" s="568"/>
      <c r="D21" s="569"/>
      <c r="E21" s="575"/>
      <c r="F21" s="394"/>
      <c r="G21" s="570"/>
      <c r="L21" s="571"/>
    </row>
    <row r="22" spans="1:12" ht="15">
      <c r="A22" s="571"/>
      <c r="B22" s="567" t="s">
        <v>617</v>
      </c>
      <c r="C22" s="568"/>
      <c r="D22" s="568"/>
      <c r="E22" s="576"/>
      <c r="F22" s="394"/>
      <c r="G22" s="570"/>
      <c r="L22" s="571"/>
    </row>
    <row r="23" spans="1:12" ht="15">
      <c r="A23" s="571"/>
      <c r="B23" s="567" t="s">
        <v>228</v>
      </c>
      <c r="C23" s="568"/>
      <c r="D23" s="568"/>
      <c r="E23" s="393"/>
      <c r="F23" s="572">
        <f>ROUND(E21*E22,4)</f>
        <v>0</v>
      </c>
      <c r="G23" s="570"/>
      <c r="L23" s="571"/>
    </row>
    <row r="24" spans="1:12" ht="15">
      <c r="A24" s="571"/>
      <c r="B24" s="567"/>
      <c r="C24" s="568"/>
      <c r="D24" s="568"/>
      <c r="E24" s="393"/>
      <c r="F24" s="572"/>
      <c r="G24" s="570"/>
      <c r="L24" s="571"/>
    </row>
    <row r="25" spans="1:12" ht="15">
      <c r="A25" s="571">
        <f>A21+1</f>
        <v>5</v>
      </c>
      <c r="B25" s="577" t="s">
        <v>105</v>
      </c>
      <c r="C25" s="568"/>
      <c r="D25" s="569"/>
      <c r="E25" s="575"/>
      <c r="F25" s="573"/>
      <c r="G25" s="570"/>
      <c r="L25" s="571"/>
    </row>
    <row r="26" spans="1:12" ht="15">
      <c r="A26" s="571"/>
      <c r="B26" s="567" t="s">
        <v>617</v>
      </c>
      <c r="C26" s="568"/>
      <c r="D26" s="568"/>
      <c r="E26" s="576"/>
      <c r="F26" s="573"/>
      <c r="G26" s="570"/>
      <c r="L26" s="571"/>
    </row>
    <row r="27" spans="1:12" ht="15">
      <c r="A27" s="571"/>
      <c r="B27" s="567" t="s">
        <v>228</v>
      </c>
      <c r="C27" s="568"/>
      <c r="D27" s="568"/>
      <c r="E27" s="393"/>
      <c r="F27" s="572">
        <f>ROUND(E25*E26,4)</f>
        <v>0</v>
      </c>
      <c r="G27" s="570"/>
      <c r="L27" s="571"/>
    </row>
    <row r="28" spans="1:12" ht="15">
      <c r="A28" s="571"/>
      <c r="B28" s="567"/>
      <c r="C28" s="568"/>
      <c r="D28" s="568"/>
      <c r="E28" s="568"/>
      <c r="F28" s="573"/>
      <c r="G28" s="570"/>
      <c r="L28" s="571"/>
    </row>
    <row r="29" spans="1:12" ht="15.75" thickBot="1">
      <c r="A29" s="571"/>
      <c r="B29" s="393" t="s">
        <v>485</v>
      </c>
      <c r="C29" s="393"/>
      <c r="D29" s="393"/>
      <c r="E29" s="393"/>
      <c r="F29" s="574">
        <f>ROUND(SUM(F11:F28),4)</f>
        <v>6.5100000000000005E-2</v>
      </c>
      <c r="G29" s="570"/>
      <c r="L29" s="571"/>
    </row>
    <row r="30" spans="1:12" ht="13.5" thickTop="1">
      <c r="A30" s="571"/>
      <c r="G30" s="392"/>
      <c r="L30" s="571"/>
    </row>
    <row r="31" spans="1:12">
      <c r="A31" s="571"/>
      <c r="G31" s="392"/>
      <c r="H31" s="392"/>
      <c r="L31" s="571"/>
    </row>
    <row r="32" spans="1:12">
      <c r="A32" s="571"/>
      <c r="G32" s="392"/>
      <c r="H32" s="392"/>
      <c r="L32" s="571"/>
    </row>
    <row r="33" spans="1:12" ht="12.75" customHeight="1">
      <c r="A33" s="571"/>
      <c r="C33" s="393"/>
      <c r="D33" s="393"/>
      <c r="E33" s="393"/>
      <c r="F33" s="393"/>
      <c r="G33" s="392"/>
      <c r="H33" s="392"/>
      <c r="L33" s="571"/>
    </row>
    <row r="34" spans="1:12">
      <c r="A34" s="348" t="s">
        <v>287</v>
      </c>
      <c r="B34" s="348" t="s">
        <v>192</v>
      </c>
      <c r="C34" s="348"/>
      <c r="D34" s="348"/>
      <c r="E34" s="348"/>
      <c r="F34" s="348"/>
      <c r="G34" s="348"/>
      <c r="H34" s="392"/>
      <c r="I34" s="392"/>
      <c r="L34" s="392"/>
    </row>
    <row r="241" spans="2:2">
      <c r="B241" s="173" t="s">
        <v>31</v>
      </c>
    </row>
  </sheetData>
  <mergeCells count="4">
    <mergeCell ref="A6:G6"/>
    <mergeCell ref="A3:H3"/>
    <mergeCell ref="A4:H4"/>
    <mergeCell ref="A5:H5"/>
  </mergeCells>
  <phoneticPr fontId="0" type="noConversion"/>
  <pageMargins left="0.26" right="1.28" top="1" bottom="1" header="0.75" footer="0.5"/>
  <pageSetup scale="90" orientation="portrait" r:id="rId1"/>
  <headerFooter alignWithMargins="0">
    <oddHeader>&amp;R&amp;"Arial,Bold"Formula Rate 
&amp;A
Page &amp;P of &amp;N</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dimension ref="A1:AC216"/>
  <sheetViews>
    <sheetView topLeftCell="A16" zoomScale="70" zoomScaleNormal="70" zoomScalePageLayoutView="50" workbookViewId="0">
      <selection activeCell="D47" sqref="D47"/>
    </sheetView>
  </sheetViews>
  <sheetFormatPr defaultRowHeight="15"/>
  <cols>
    <col min="1" max="1" width="7.28515625" style="644" customWidth="1"/>
    <col min="2" max="2" width="1.7109375" style="583" customWidth="1"/>
    <col min="3" max="3" width="62.42578125" style="583" customWidth="1"/>
    <col min="4" max="4" width="11" style="583" customWidth="1"/>
    <col min="5" max="5" width="20.42578125" style="645" customWidth="1"/>
    <col min="6" max="6" width="1.7109375" style="578" customWidth="1"/>
    <col min="7" max="7" width="20" style="578" bestFit="1" customWidth="1"/>
    <col min="8" max="8" width="1.7109375" style="578" customWidth="1"/>
    <col min="9" max="9" width="21.42578125" style="578" customWidth="1"/>
    <col min="10" max="10" width="1.7109375" style="578" customWidth="1"/>
    <col min="11" max="11" width="17.7109375" style="578" bestFit="1" customWidth="1"/>
    <col min="12" max="12" width="3.42578125" style="578" customWidth="1"/>
    <col min="13" max="13" width="22.5703125" style="578" customWidth="1"/>
    <col min="14" max="14" width="1.28515625" style="578" customWidth="1"/>
    <col min="15" max="15" width="22.140625" style="579" customWidth="1"/>
    <col min="16" max="16384" width="9.140625" style="578"/>
  </cols>
  <sheetData>
    <row r="1" spans="1:29" ht="15.75">
      <c r="A1" s="1005" t="s">
        <v>406</v>
      </c>
    </row>
    <row r="2" spans="1:29" ht="15.75">
      <c r="A2" s="1005" t="s">
        <v>406</v>
      </c>
    </row>
    <row r="3" spans="1:29" ht="18.75" customHeight="1">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1481" t="str">
        <f>TCOS!$F$5</f>
        <v>AEPTCo subsidiaries in PJM</v>
      </c>
      <c r="G3" s="1481" t="str">
        <f>TCOS!$F$5</f>
        <v>AEPTCo subsidiaries in PJM</v>
      </c>
      <c r="H3" s="1481" t="str">
        <f>TCOS!$F$5</f>
        <v>AEPTCo subsidiaries in PJM</v>
      </c>
      <c r="I3" s="1481" t="str">
        <f>TCOS!$F$5</f>
        <v>AEPTCo subsidiaries in PJM</v>
      </c>
      <c r="J3" s="1481" t="str">
        <f>TCOS!$F$5</f>
        <v>AEPTCo subsidiaries in PJM</v>
      </c>
      <c r="K3" s="1481" t="str">
        <f>TCOS!$F$5</f>
        <v>AEPTCo subsidiaries in PJM</v>
      </c>
      <c r="L3" s="1481" t="str">
        <f>TCOS!$F$5</f>
        <v>AEPTCo subsidiaries in PJM</v>
      </c>
      <c r="M3" s="1481" t="str">
        <f>TCOS!$F$5</f>
        <v>AEPTCo subsidiaries in PJM</v>
      </c>
    </row>
    <row r="4" spans="1:29" ht="18.75" customHeight="1">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1509"/>
    </row>
    <row r="5" spans="1:29" ht="18.75" customHeight="1">
      <c r="A5" s="1509" t="s">
        <v>247</v>
      </c>
      <c r="B5" s="1509"/>
      <c r="C5" s="1509"/>
      <c r="D5" s="1509"/>
      <c r="E5" s="1509"/>
      <c r="F5" s="1509"/>
      <c r="G5" s="1509"/>
      <c r="H5" s="1509"/>
      <c r="I5" s="1509"/>
      <c r="J5" s="1509"/>
      <c r="K5" s="1509"/>
      <c r="L5" s="1509"/>
      <c r="M5" s="1509"/>
    </row>
    <row r="6" spans="1:29" ht="18.75" customHeight="1">
      <c r="A6" s="1525" t="str">
        <f>TCOS!F9</f>
        <v>AEP Appalachian Transmission Company</v>
      </c>
      <c r="B6" s="1525"/>
      <c r="C6" s="1525"/>
      <c r="D6" s="1525"/>
      <c r="E6" s="1525"/>
      <c r="F6" s="1525"/>
      <c r="G6" s="1525"/>
      <c r="H6" s="1525"/>
      <c r="I6" s="1525"/>
      <c r="J6" s="1525"/>
      <c r="K6" s="1525"/>
      <c r="L6" s="1525"/>
      <c r="M6" s="1525"/>
    </row>
    <row r="7" spans="1:29" ht="18" customHeight="1">
      <c r="A7" s="1510"/>
      <c r="B7" s="1510"/>
      <c r="C7" s="1510"/>
      <c r="D7" s="1510"/>
      <c r="E7" s="1510"/>
      <c r="F7" s="1510"/>
      <c r="G7" s="1510"/>
      <c r="H7" s="1510"/>
      <c r="I7" s="1510"/>
      <c r="J7" s="1510"/>
      <c r="K7" s="1510"/>
      <c r="L7" s="1510"/>
      <c r="M7" s="1510"/>
    </row>
    <row r="8" spans="1:29" ht="18" customHeight="1">
      <c r="A8" s="1521"/>
      <c r="B8" s="1521"/>
      <c r="C8" s="1521"/>
      <c r="D8" s="1521"/>
      <c r="E8" s="1521"/>
      <c r="F8" s="1521"/>
      <c r="G8" s="1521"/>
      <c r="H8" s="1521"/>
      <c r="I8" s="1521"/>
      <c r="J8" s="1521"/>
      <c r="K8" s="1521"/>
      <c r="L8" s="1521"/>
      <c r="M8" s="1521"/>
    </row>
    <row r="9" spans="1:29" ht="18" customHeight="1">
      <c r="A9" s="521"/>
      <c r="B9" s="521"/>
      <c r="C9" s="521"/>
      <c r="D9" s="521"/>
      <c r="E9" s="521"/>
      <c r="F9" s="521"/>
      <c r="G9" s="521"/>
      <c r="H9" s="521"/>
      <c r="I9" s="521"/>
      <c r="J9" s="521"/>
      <c r="K9" s="521"/>
      <c r="L9" s="521"/>
      <c r="M9" s="521"/>
    </row>
    <row r="10" spans="1:29" ht="19.5" customHeight="1">
      <c r="A10" s="580"/>
      <c r="B10" s="581"/>
      <c r="C10" s="582" t="s">
        <v>452</v>
      </c>
      <c r="E10" s="582" t="s">
        <v>453</v>
      </c>
      <c r="G10" s="582" t="s">
        <v>454</v>
      </c>
      <c r="I10" s="582" t="s">
        <v>455</v>
      </c>
      <c r="K10" s="582" t="s">
        <v>375</v>
      </c>
      <c r="M10" s="582" t="s">
        <v>376</v>
      </c>
    </row>
    <row r="11" spans="1:29" ht="18">
      <c r="A11" s="584"/>
      <c r="B11" s="585"/>
      <c r="C11" s="585"/>
      <c r="D11" s="585"/>
      <c r="E11" s="173"/>
      <c r="F11" s="173"/>
      <c r="G11" s="173"/>
      <c r="H11" s="173"/>
      <c r="I11" s="173"/>
      <c r="J11" s="173"/>
      <c r="K11" s="173"/>
      <c r="L11" s="173"/>
      <c r="M11" s="173"/>
      <c r="Q11" s="421"/>
      <c r="R11" s="421"/>
      <c r="S11" s="421"/>
      <c r="T11" s="421"/>
      <c r="U11" s="421"/>
      <c r="V11" s="421"/>
      <c r="W11" s="421"/>
      <c r="X11" s="421"/>
      <c r="Y11" s="421"/>
      <c r="Z11" s="421"/>
      <c r="AA11" s="421"/>
      <c r="AB11" s="421"/>
      <c r="AC11" s="421"/>
    </row>
    <row r="12" spans="1:29" ht="19.5">
      <c r="A12" s="584" t="s">
        <v>459</v>
      </c>
      <c r="B12" s="585"/>
      <c r="C12" s="585"/>
      <c r="D12" s="585"/>
      <c r="E12" s="586" t="s">
        <v>410</v>
      </c>
      <c r="F12" s="584"/>
      <c r="G12" s="584"/>
      <c r="H12" s="584"/>
      <c r="I12" s="584"/>
      <c r="J12" s="584"/>
      <c r="K12" s="587"/>
      <c r="L12" s="587"/>
      <c r="M12" s="588"/>
    </row>
    <row r="13" spans="1:29" ht="19.5">
      <c r="A13" s="589" t="s">
        <v>409</v>
      </c>
      <c r="B13" s="585"/>
      <c r="C13" s="589" t="s">
        <v>102</v>
      </c>
      <c r="D13" s="585"/>
      <c r="E13" s="590" t="s">
        <v>473</v>
      </c>
      <c r="F13" s="584"/>
      <c r="G13" s="589" t="s">
        <v>106</v>
      </c>
      <c r="H13" s="584"/>
      <c r="I13" s="589" t="s">
        <v>451</v>
      </c>
      <c r="J13" s="584"/>
      <c r="K13" s="591" t="s">
        <v>471</v>
      </c>
      <c r="L13" s="592"/>
      <c r="M13" s="591" t="s">
        <v>107</v>
      </c>
    </row>
    <row r="14" spans="1:29" ht="19.5">
      <c r="A14" s="593"/>
      <c r="B14" s="581"/>
      <c r="C14" s="594"/>
      <c r="D14" s="594"/>
      <c r="E14" s="594" t="s">
        <v>325</v>
      </c>
      <c r="F14" s="594"/>
      <c r="G14" s="594"/>
      <c r="H14" s="594"/>
      <c r="I14" s="594"/>
      <c r="J14" s="594"/>
      <c r="K14" s="595"/>
      <c r="L14" s="595"/>
    </row>
    <row r="15" spans="1:29" ht="19.5">
      <c r="A15" s="580"/>
      <c r="B15" s="581"/>
      <c r="C15" s="581"/>
      <c r="D15" s="581"/>
      <c r="E15" s="596"/>
      <c r="F15" s="597"/>
      <c r="G15" s="597"/>
      <c r="H15" s="597"/>
      <c r="I15" s="598"/>
      <c r="J15" s="597"/>
      <c r="K15" s="595"/>
      <c r="L15" s="595"/>
    </row>
    <row r="16" spans="1:29" ht="19.5">
      <c r="A16" s="580">
        <v>1</v>
      </c>
      <c r="B16" s="581"/>
      <c r="C16" s="599" t="s">
        <v>118</v>
      </c>
      <c r="D16" s="581"/>
      <c r="E16" s="595"/>
      <c r="F16" s="595"/>
      <c r="G16" s="600"/>
      <c r="H16" s="600"/>
      <c r="I16" s="600"/>
      <c r="J16" s="600"/>
      <c r="K16" s="600"/>
      <c r="L16" s="600"/>
      <c r="M16" s="601"/>
    </row>
    <row r="17" spans="1:15" ht="19.5">
      <c r="A17" s="580">
        <f>+A16+1</f>
        <v>2</v>
      </c>
      <c r="B17" s="581"/>
      <c r="C17" s="597" t="s">
        <v>103</v>
      </c>
      <c r="D17" s="581"/>
      <c r="E17" s="602">
        <f>+'WS H-p2 Detail of Tax Amts'!E14</f>
        <v>0</v>
      </c>
      <c r="F17" s="595"/>
      <c r="G17" s="600"/>
      <c r="H17" s="600"/>
      <c r="I17" s="600"/>
      <c r="J17" s="600"/>
      <c r="K17" s="600"/>
      <c r="L17" s="600"/>
      <c r="M17" s="601">
        <f>+E17</f>
        <v>0</v>
      </c>
    </row>
    <row r="18" spans="1:15" ht="19.5">
      <c r="A18" s="580"/>
      <c r="B18" s="581"/>
      <c r="C18" s="587"/>
      <c r="D18" s="581"/>
      <c r="E18" s="603"/>
      <c r="F18" s="595"/>
      <c r="G18" s="600"/>
      <c r="H18" s="600"/>
      <c r="I18" s="600"/>
      <c r="J18" s="600"/>
      <c r="K18" s="600"/>
      <c r="L18" s="600"/>
      <c r="M18" s="601"/>
    </row>
    <row r="19" spans="1:15" ht="19.5">
      <c r="A19" s="580">
        <f>+A17+1</f>
        <v>3</v>
      </c>
      <c r="B19" s="581"/>
      <c r="C19" s="599" t="s">
        <v>119</v>
      </c>
      <c r="D19" s="581"/>
      <c r="E19" s="603"/>
      <c r="F19" s="595"/>
      <c r="G19" s="600"/>
      <c r="H19" s="600"/>
      <c r="I19" s="600"/>
      <c r="J19" s="600"/>
      <c r="K19" s="600"/>
      <c r="L19" s="600"/>
      <c r="M19" s="601"/>
    </row>
    <row r="20" spans="1:15" ht="19.5">
      <c r="A20" s="580">
        <f>+A19+1</f>
        <v>4</v>
      </c>
      <c r="B20" s="581"/>
      <c r="C20" s="597" t="s">
        <v>609</v>
      </c>
      <c r="D20" s="597"/>
      <c r="E20" s="602">
        <f>'WS H-p2 Detail of Tax Amts'!E23</f>
        <v>0</v>
      </c>
      <c r="F20" s="597"/>
      <c r="G20" s="600">
        <f>+E20</f>
        <v>0</v>
      </c>
      <c r="H20" s="600"/>
      <c r="I20" s="600"/>
      <c r="J20" s="600"/>
      <c r="K20" s="600"/>
      <c r="L20" s="600"/>
      <c r="M20" s="601"/>
      <c r="O20" s="173"/>
    </row>
    <row r="21" spans="1:15" ht="19.5">
      <c r="A21" s="580">
        <f>+A20+1</f>
        <v>5</v>
      </c>
      <c r="B21" s="581"/>
      <c r="C21" s="597" t="s">
        <v>610</v>
      </c>
      <c r="D21" s="597"/>
      <c r="E21" s="602">
        <f>'WS H-p2 Detail of Tax Amts'!E30</f>
        <v>484.83245681156234</v>
      </c>
      <c r="F21" s="597"/>
      <c r="G21" s="600">
        <f>+E21</f>
        <v>484.83245681156234</v>
      </c>
      <c r="H21" s="600"/>
      <c r="I21" s="600"/>
      <c r="J21" s="600"/>
      <c r="K21" s="600"/>
      <c r="L21" s="600"/>
      <c r="M21" s="601"/>
      <c r="O21" s="173"/>
    </row>
    <row r="22" spans="1:15" ht="19.5">
      <c r="A22" s="580">
        <f>+A21+1</f>
        <v>6</v>
      </c>
      <c r="B22" s="581"/>
      <c r="C22" s="597" t="s">
        <v>611</v>
      </c>
      <c r="D22" s="597"/>
      <c r="E22" s="602">
        <f>'WS H-p2 Detail of Tax Amts'!E37</f>
        <v>873515.16754318739</v>
      </c>
      <c r="F22" s="597"/>
      <c r="G22" s="600">
        <f>+E22</f>
        <v>873515.16754318739</v>
      </c>
      <c r="H22" s="600"/>
      <c r="I22" s="600"/>
      <c r="J22" s="600"/>
      <c r="K22" s="600"/>
      <c r="L22" s="600"/>
      <c r="M22" s="601"/>
      <c r="O22" s="173"/>
    </row>
    <row r="23" spans="1:15" ht="19.5">
      <c r="A23" s="580">
        <f>+A22+1</f>
        <v>7</v>
      </c>
      <c r="B23" s="581"/>
      <c r="C23" s="597" t="s">
        <v>243</v>
      </c>
      <c r="D23" s="604"/>
      <c r="E23" s="602">
        <f>+'WS H-p2 Detail of Tax Amts'!E40</f>
        <v>0</v>
      </c>
      <c r="F23" s="595"/>
      <c r="G23" s="600">
        <f>+E23</f>
        <v>0</v>
      </c>
      <c r="H23" s="600"/>
      <c r="I23" s="600"/>
      <c r="J23" s="600"/>
      <c r="K23" s="600"/>
      <c r="L23" s="600"/>
      <c r="M23" s="601"/>
      <c r="O23" s="173"/>
    </row>
    <row r="24" spans="1:15" ht="19.5">
      <c r="A24" s="580"/>
      <c r="B24" s="581"/>
      <c r="C24" s="587"/>
      <c r="D24" s="581"/>
      <c r="E24" s="603"/>
      <c r="F24" s="595"/>
      <c r="G24" s="600"/>
      <c r="H24" s="600"/>
      <c r="I24" s="600"/>
      <c r="J24" s="600"/>
      <c r="K24" s="600"/>
      <c r="L24" s="600"/>
      <c r="M24" s="601"/>
      <c r="O24" s="605"/>
    </row>
    <row r="25" spans="1:15" ht="19.5">
      <c r="A25" s="580">
        <f>+A23+1</f>
        <v>8</v>
      </c>
      <c r="B25" s="581"/>
      <c r="C25" s="599" t="s">
        <v>120</v>
      </c>
      <c r="D25" s="581"/>
      <c r="E25" s="603"/>
      <c r="F25" s="595"/>
      <c r="G25" s="600"/>
      <c r="H25" s="600"/>
      <c r="I25" s="600"/>
      <c r="J25" s="600"/>
      <c r="K25" s="600"/>
      <c r="L25" s="600"/>
      <c r="M25" s="601"/>
      <c r="O25" s="605"/>
    </row>
    <row r="26" spans="1:15" ht="19.5">
      <c r="A26" s="580">
        <f>+A25+1</f>
        <v>9</v>
      </c>
      <c r="B26" s="581"/>
      <c r="C26" s="597" t="s">
        <v>116</v>
      </c>
      <c r="D26" s="581"/>
      <c r="E26" s="602">
        <f>+'WS H-p2 Detail of Tax Amts'!E50</f>
        <v>0</v>
      </c>
      <c r="F26" s="595"/>
      <c r="G26" s="600"/>
      <c r="H26" s="600"/>
      <c r="I26" s="600">
        <f>+E26</f>
        <v>0</v>
      </c>
      <c r="J26" s="600"/>
      <c r="K26" s="600"/>
      <c r="L26" s="600"/>
      <c r="M26" s="601"/>
      <c r="O26" s="605"/>
    </row>
    <row r="27" spans="1:15" ht="19.5">
      <c r="A27" s="580">
        <f>+A26+1</f>
        <v>10</v>
      </c>
      <c r="B27" s="581"/>
      <c r="C27" s="597" t="s">
        <v>109</v>
      </c>
      <c r="D27" s="581"/>
      <c r="E27" s="602">
        <f>+'WS H-p2 Detail of Tax Amts'!E52</f>
        <v>0</v>
      </c>
      <c r="F27" s="595"/>
      <c r="G27" s="595"/>
      <c r="H27" s="595"/>
      <c r="I27" s="601">
        <f>+E27</f>
        <v>0</v>
      </c>
      <c r="J27" s="597"/>
      <c r="K27" s="595"/>
      <c r="L27" s="595"/>
      <c r="M27" s="601"/>
    </row>
    <row r="28" spans="1:15" ht="19.5">
      <c r="A28" s="580">
        <f>+A27+1</f>
        <v>11</v>
      </c>
      <c r="B28" s="581"/>
      <c r="C28" s="597" t="s">
        <v>110</v>
      </c>
      <c r="D28" s="581"/>
      <c r="E28" s="602">
        <f>+'WS H-p2 Detail of Tax Amts'!E54</f>
        <v>0</v>
      </c>
      <c r="F28" s="595"/>
      <c r="G28" s="595"/>
      <c r="H28" s="595"/>
      <c r="I28" s="601">
        <f>+E28</f>
        <v>0</v>
      </c>
      <c r="J28" s="596"/>
      <c r="K28" s="595"/>
      <c r="L28" s="595"/>
      <c r="M28" s="601"/>
    </row>
    <row r="29" spans="1:15" ht="19.5">
      <c r="A29" s="580" t="s">
        <v>406</v>
      </c>
      <c r="B29" s="581"/>
      <c r="C29" s="595"/>
      <c r="D29" s="581"/>
      <c r="E29" s="603"/>
      <c r="F29" s="595"/>
      <c r="G29" s="595"/>
      <c r="H29" s="595"/>
      <c r="I29" s="606"/>
      <c r="J29" s="607"/>
      <c r="K29" s="608"/>
      <c r="L29" s="608"/>
      <c r="M29" s="601"/>
    </row>
    <row r="30" spans="1:15" ht="19.5">
      <c r="A30" s="580">
        <f>A28+1</f>
        <v>12</v>
      </c>
      <c r="B30" s="581"/>
      <c r="C30" s="609" t="s">
        <v>312</v>
      </c>
      <c r="D30" s="581"/>
      <c r="E30" s="610"/>
      <c r="F30" s="611"/>
      <c r="G30" s="611"/>
      <c r="H30" s="611"/>
      <c r="I30" s="612"/>
      <c r="J30" s="613"/>
      <c r="K30" s="614"/>
      <c r="L30" s="614"/>
      <c r="M30" s="615"/>
    </row>
    <row r="31" spans="1:15" ht="19.5">
      <c r="A31" s="580">
        <f>A30+1</f>
        <v>13</v>
      </c>
      <c r="B31" s="581"/>
      <c r="C31" s="597" t="s">
        <v>214</v>
      </c>
      <c r="D31" s="604"/>
      <c r="E31" s="602">
        <f>+'WS H-p2 Detail of Tax Amts'!E59</f>
        <v>0</v>
      </c>
      <c r="F31" s="616"/>
      <c r="G31" s="595"/>
      <c r="H31" s="595"/>
      <c r="I31" s="606"/>
      <c r="J31" s="607"/>
      <c r="K31" s="608"/>
      <c r="L31" s="608"/>
      <c r="M31" s="601">
        <f>E31</f>
        <v>0</v>
      </c>
    </row>
    <row r="32" spans="1:15" ht="19.5">
      <c r="A32" s="580"/>
      <c r="B32" s="581"/>
      <c r="C32" s="595"/>
      <c r="D32" s="581"/>
      <c r="E32" s="603"/>
      <c r="F32" s="595"/>
      <c r="G32" s="595"/>
      <c r="H32" s="595"/>
      <c r="I32" s="606"/>
      <c r="J32" s="607"/>
      <c r="K32" s="608"/>
      <c r="L32" s="608"/>
      <c r="M32" s="601"/>
    </row>
    <row r="33" spans="1:13" ht="19.5">
      <c r="A33" s="617">
        <f>A31+1</f>
        <v>14</v>
      </c>
      <c r="B33" s="618"/>
      <c r="C33" s="599" t="s">
        <v>117</v>
      </c>
      <c r="D33" s="619"/>
      <c r="E33" s="603"/>
      <c r="F33" s="595"/>
      <c r="G33" s="601"/>
      <c r="H33" s="601"/>
      <c r="I33" s="601"/>
      <c r="J33" s="601"/>
      <c r="K33" s="601"/>
      <c r="L33" s="601"/>
      <c r="M33" s="601"/>
    </row>
    <row r="34" spans="1:13" ht="19.5">
      <c r="A34" s="617">
        <f>A33+1</f>
        <v>15</v>
      </c>
      <c r="B34" s="618"/>
      <c r="C34" s="597" t="s">
        <v>213</v>
      </c>
      <c r="D34" s="619"/>
      <c r="E34" s="602">
        <f>+'WS H-p2 Detail of Tax Amts'!E62</f>
        <v>0</v>
      </c>
      <c r="F34" s="616"/>
      <c r="G34" s="601"/>
      <c r="H34" s="601"/>
      <c r="I34" s="601"/>
      <c r="J34" s="601"/>
      <c r="K34" s="601"/>
      <c r="L34" s="601"/>
      <c r="M34" s="601">
        <f>E34</f>
        <v>0</v>
      </c>
    </row>
    <row r="35" spans="1:13" ht="19.5">
      <c r="A35" s="580">
        <f>A34+1</f>
        <v>16</v>
      </c>
      <c r="B35" s="581"/>
      <c r="C35" s="597" t="s">
        <v>111</v>
      </c>
      <c r="D35" s="581"/>
      <c r="E35" s="620">
        <f>+'WS H-p2 Detail of Tax Amts'!E65</f>
        <v>0</v>
      </c>
      <c r="F35" s="595"/>
      <c r="G35" s="601"/>
      <c r="H35" s="601"/>
      <c r="I35" s="601"/>
      <c r="J35" s="601"/>
      <c r="K35" s="601">
        <f>+E35</f>
        <v>0</v>
      </c>
      <c r="L35" s="601"/>
      <c r="M35" s="601"/>
    </row>
    <row r="36" spans="1:13" ht="19.5">
      <c r="A36" s="580">
        <f t="shared" ref="A36:A41" si="0">+A35+1</f>
        <v>17</v>
      </c>
      <c r="B36" s="581"/>
      <c r="C36" s="597" t="s">
        <v>112</v>
      </c>
      <c r="D36" s="173"/>
      <c r="E36" s="620">
        <f>+'WS H-p2 Detail of Tax Amts'!E69</f>
        <v>314225</v>
      </c>
      <c r="F36" s="595"/>
      <c r="G36" s="620"/>
      <c r="H36" s="620"/>
      <c r="I36" s="620"/>
      <c r="J36" s="620"/>
      <c r="K36" s="601">
        <f>+E36</f>
        <v>314225</v>
      </c>
      <c r="L36" s="620"/>
      <c r="M36" s="601"/>
    </row>
    <row r="37" spans="1:13" ht="19.5">
      <c r="A37" s="580">
        <f>+A36+1</f>
        <v>18</v>
      </c>
      <c r="B37" s="581"/>
      <c r="C37" s="597" t="s">
        <v>113</v>
      </c>
      <c r="D37" s="173"/>
      <c r="E37" s="620">
        <f>'WS H-p2 Detail of Tax Amts'!E81</f>
        <v>0</v>
      </c>
      <c r="F37" s="595"/>
      <c r="G37" s="601"/>
      <c r="H37" s="601"/>
      <c r="I37" s="601"/>
      <c r="J37" s="601"/>
      <c r="K37" s="601">
        <f>+E37</f>
        <v>0</v>
      </c>
      <c r="L37" s="601"/>
      <c r="M37" s="601"/>
    </row>
    <row r="38" spans="1:13" ht="19.5">
      <c r="A38" s="580">
        <f t="shared" si="0"/>
        <v>19</v>
      </c>
      <c r="B38" s="581"/>
      <c r="C38" s="597" t="s">
        <v>114</v>
      </c>
      <c r="D38" s="581"/>
      <c r="E38" s="620">
        <f>+'WS H-p2 Detail of Tax Amts'!E86</f>
        <v>0</v>
      </c>
      <c r="F38" s="595"/>
      <c r="G38" s="601"/>
      <c r="H38" s="601"/>
      <c r="I38" s="601"/>
      <c r="J38" s="601"/>
      <c r="K38" s="601">
        <f>+E38</f>
        <v>0</v>
      </c>
      <c r="L38" s="601"/>
      <c r="M38" s="601"/>
    </row>
    <row r="39" spans="1:13" ht="19.5">
      <c r="A39" s="580">
        <f t="shared" si="0"/>
        <v>20</v>
      </c>
      <c r="B39" s="581"/>
      <c r="C39" s="597" t="s">
        <v>115</v>
      </c>
      <c r="D39" s="581"/>
      <c r="E39" s="620">
        <f>+'WS H-p2 Detail of Tax Amts'!E89</f>
        <v>0</v>
      </c>
      <c r="F39" s="616"/>
      <c r="G39" s="601"/>
      <c r="H39" s="601"/>
      <c r="I39" s="601"/>
      <c r="J39" s="601"/>
      <c r="K39" s="601"/>
      <c r="L39" s="601"/>
      <c r="M39" s="601">
        <f>+E39</f>
        <v>0</v>
      </c>
    </row>
    <row r="40" spans="1:13" ht="19.5">
      <c r="A40" s="580">
        <f t="shared" si="0"/>
        <v>21</v>
      </c>
      <c r="B40" s="595"/>
      <c r="C40" s="597" t="s">
        <v>104</v>
      </c>
      <c r="D40" s="595"/>
      <c r="E40" s="620">
        <f>+'WS H-p2 Detail of Tax Amts'!E95</f>
        <v>0</v>
      </c>
      <c r="F40" s="595"/>
      <c r="G40" s="601"/>
      <c r="H40" s="601"/>
      <c r="I40" s="601"/>
      <c r="J40" s="601"/>
      <c r="K40" s="601"/>
      <c r="L40" s="601"/>
      <c r="M40" s="601">
        <f>+E40</f>
        <v>0</v>
      </c>
    </row>
    <row r="41" spans="1:13" ht="19.5">
      <c r="A41" s="580">
        <f t="shared" si="0"/>
        <v>22</v>
      </c>
      <c r="B41" s="595"/>
      <c r="C41" s="597" t="s">
        <v>398</v>
      </c>
      <c r="D41" s="616"/>
      <c r="E41" s="620">
        <v>0</v>
      </c>
      <c r="F41" s="616"/>
      <c r="G41" s="601"/>
      <c r="H41" s="601"/>
      <c r="I41" s="601"/>
      <c r="J41" s="601"/>
      <c r="K41" s="601"/>
      <c r="L41" s="601"/>
      <c r="M41" s="601">
        <f>+E41</f>
        <v>0</v>
      </c>
    </row>
    <row r="42" spans="1:13" ht="19.5">
      <c r="A42" s="314"/>
      <c r="B42" s="209"/>
      <c r="C42" s="597"/>
      <c r="D42" s="173"/>
      <c r="E42" s="173"/>
      <c r="F42" s="595"/>
      <c r="H42" s="621"/>
      <c r="I42" s="622"/>
      <c r="J42" s="622"/>
      <c r="K42" s="608"/>
      <c r="L42" s="623"/>
      <c r="M42" s="623"/>
    </row>
    <row r="43" spans="1:13" ht="20.25" thickBot="1">
      <c r="A43" s="624">
        <f>+A41+1</f>
        <v>23</v>
      </c>
      <c r="B43" s="209"/>
      <c r="C43" s="597" t="s">
        <v>108</v>
      </c>
      <c r="D43" s="173"/>
      <c r="E43" s="625">
        <f>SUM(E17:E41)</f>
        <v>1188224.9999999991</v>
      </c>
      <c r="F43" s="595"/>
      <c r="G43" s="625">
        <f>SUM(G17:G41)</f>
        <v>873999.99999999895</v>
      </c>
      <c r="H43" s="621"/>
      <c r="I43" s="625">
        <f>SUM(I17:I41)</f>
        <v>0</v>
      </c>
      <c r="J43" s="622"/>
      <c r="K43" s="625">
        <f>SUM(K17:K41)</f>
        <v>314225</v>
      </c>
      <c r="L43" s="623"/>
      <c r="M43" s="625">
        <f>SUM(M17:M41)</f>
        <v>0</v>
      </c>
    </row>
    <row r="44" spans="1:13" ht="20.25" thickTop="1">
      <c r="A44" s="314"/>
      <c r="B44" s="209"/>
      <c r="C44" s="597" t="s">
        <v>173</v>
      </c>
      <c r="D44" s="173"/>
      <c r="E44" s="173"/>
      <c r="F44" s="595"/>
      <c r="G44" s="621"/>
      <c r="H44" s="621"/>
      <c r="I44" s="622"/>
      <c r="J44" s="204"/>
      <c r="K44" s="623"/>
      <c r="L44" s="623"/>
      <c r="M44" s="623"/>
    </row>
    <row r="45" spans="1:13" ht="19.5">
      <c r="A45" s="314"/>
      <c r="B45" s="209"/>
      <c r="C45" s="597" t="s">
        <v>5</v>
      </c>
      <c r="D45" s="173"/>
      <c r="E45" s="173"/>
      <c r="F45" s="595"/>
      <c r="G45" s="621"/>
      <c r="H45" s="621"/>
      <c r="I45" s="622"/>
      <c r="J45" s="204"/>
      <c r="K45" s="623"/>
      <c r="L45" s="623"/>
      <c r="M45" s="623"/>
    </row>
    <row r="46" spans="1:13" ht="19.5">
      <c r="A46" s="314"/>
      <c r="B46" s="209"/>
      <c r="C46" s="1524" t="s">
        <v>242</v>
      </c>
      <c r="D46" s="1524"/>
      <c r="E46" s="1524"/>
      <c r="F46" s="1524"/>
      <c r="G46" s="1524"/>
      <c r="H46" s="1524"/>
      <c r="I46" s="1524"/>
      <c r="J46" s="1524"/>
      <c r="K46" s="1524"/>
      <c r="L46" s="1524"/>
      <c r="M46" s="1524"/>
    </row>
    <row r="47" spans="1:13" ht="78">
      <c r="A47" s="580"/>
      <c r="C47" s="595"/>
      <c r="D47" s="595"/>
      <c r="E47" s="626" t="s">
        <v>313</v>
      </c>
      <c r="G47" s="627" t="s">
        <v>407</v>
      </c>
      <c r="H47" s="627"/>
      <c r="I47" s="626" t="s">
        <v>314</v>
      </c>
      <c r="J47" s="627"/>
      <c r="K47" s="627" t="s">
        <v>128</v>
      </c>
      <c r="L47" s="627"/>
      <c r="M47" s="627" t="s">
        <v>410</v>
      </c>
    </row>
    <row r="48" spans="1:13" ht="19.5">
      <c r="A48" s="628">
        <f>+A43+1</f>
        <v>24</v>
      </c>
      <c r="B48" s="629"/>
      <c r="C48" s="630" t="str">
        <f>"Functionalized Net Plant (TCOS, Lns "&amp;TCOS!B79&amp;" thru "&amp;TCOS!B82&amp;")"</f>
        <v>Functionalized Net Plant (TCOS, Lns 33 thru 36)</v>
      </c>
      <c r="D48" s="616"/>
      <c r="E48" s="631">
        <v>0</v>
      </c>
      <c r="F48" s="630"/>
      <c r="G48" s="631">
        <f>+TCOS!G79</f>
        <v>135759268.2224353</v>
      </c>
      <c r="H48" s="630"/>
      <c r="I48" s="631">
        <v>0</v>
      </c>
      <c r="J48" s="630"/>
      <c r="K48" s="632">
        <f>+TCOS!G80</f>
        <v>713365.4758235442</v>
      </c>
      <c r="L48" s="616"/>
      <c r="M48" s="633">
        <f>SUM(E48:K48)</f>
        <v>136472633.69825885</v>
      </c>
    </row>
    <row r="49" spans="1:21" ht="19.5">
      <c r="A49" s="628"/>
      <c r="B49" s="629"/>
      <c r="C49" s="587" t="s">
        <v>612</v>
      </c>
      <c r="D49" s="616"/>
      <c r="E49" s="633"/>
      <c r="F49" s="616"/>
      <c r="G49" s="634"/>
      <c r="H49" s="616"/>
      <c r="I49" s="633"/>
      <c r="J49" s="616"/>
      <c r="K49" s="635"/>
      <c r="L49" s="616"/>
      <c r="M49" s="636"/>
    </row>
    <row r="50" spans="1:21" ht="19.5">
      <c r="A50" s="628">
        <f>+A48+1</f>
        <v>25</v>
      </c>
      <c r="B50" s="629"/>
      <c r="C50" s="616" t="str">
        <f>"Percentage of Plant in "&amp;C49&amp;""</f>
        <v>Percentage of Plant in WEST VIRGINIA JURISDICTION</v>
      </c>
      <c r="D50" s="616"/>
      <c r="E50" s="651"/>
      <c r="F50" s="637"/>
      <c r="G50" s="651"/>
      <c r="H50" s="637"/>
      <c r="I50" s="651"/>
      <c r="J50" s="637"/>
      <c r="K50" s="651"/>
      <c r="L50" s="616"/>
      <c r="M50" s="636"/>
    </row>
    <row r="51" spans="1:21" ht="19.5">
      <c r="A51" s="628">
        <f t="shared" ref="A51:A58" si="1">+A50+1</f>
        <v>26</v>
      </c>
      <c r="B51" s="629"/>
      <c r="C51" s="630" t="str">
        <f>"Net Plant in "&amp;C49&amp;" (Ln "&amp;A48&amp;" * Ln "&amp;A50&amp;")"</f>
        <v>Net Plant in WEST VIRGINIA JURISDICTION (Ln 24 * Ln 25)</v>
      </c>
      <c r="D51" s="616"/>
      <c r="E51" s="633">
        <f>+E48*E50</f>
        <v>0</v>
      </c>
      <c r="F51" s="616"/>
      <c r="G51" s="633">
        <f>+G48*G50</f>
        <v>0</v>
      </c>
      <c r="H51" s="616"/>
      <c r="I51" s="633">
        <f>+I48*I50</f>
        <v>0</v>
      </c>
      <c r="J51" s="616"/>
      <c r="K51" s="633">
        <f>+K48*K50</f>
        <v>0</v>
      </c>
      <c r="L51" s="616"/>
      <c r="M51" s="633">
        <f>SUM(E51:K51)</f>
        <v>0</v>
      </c>
      <c r="O51" s="173"/>
    </row>
    <row r="52" spans="1:21" ht="19.5">
      <c r="A52" s="628">
        <f t="shared" si="1"/>
        <v>27</v>
      </c>
      <c r="B52" s="629"/>
      <c r="C52" s="630" t="s">
        <v>541</v>
      </c>
      <c r="D52" s="616"/>
      <c r="E52" s="651"/>
      <c r="F52" s="616"/>
      <c r="G52" s="638"/>
      <c r="H52" s="616"/>
      <c r="I52" s="638"/>
      <c r="J52" s="616"/>
      <c r="K52" s="639"/>
      <c r="L52" s="616"/>
      <c r="M52" s="633"/>
      <c r="O52" s="173"/>
    </row>
    <row r="53" spans="1:21" ht="19.5">
      <c r="A53" s="628">
        <f t="shared" si="1"/>
        <v>28</v>
      </c>
      <c r="B53" s="629"/>
      <c r="C53" s="616" t="str">
        <f>"Taxable Property Basis (Ln "&amp;A51&amp;" - Ln "&amp;A52&amp;")"</f>
        <v>Taxable Property Basis (Ln 26 - Ln 27)</v>
      </c>
      <c r="D53" s="616"/>
      <c r="E53" s="633">
        <f>+E51-E52</f>
        <v>0</v>
      </c>
      <c r="F53" s="616"/>
      <c r="G53" s="633">
        <f>+G51-G52</f>
        <v>0</v>
      </c>
      <c r="H53" s="616"/>
      <c r="I53" s="633">
        <f>+I51-I52</f>
        <v>0</v>
      </c>
      <c r="J53" s="616"/>
      <c r="K53" s="633">
        <f>+K51-K52</f>
        <v>0</v>
      </c>
      <c r="L53" s="616"/>
      <c r="M53" s="633">
        <f>SUM(E53:K53)</f>
        <v>0</v>
      </c>
      <c r="O53" s="173"/>
    </row>
    <row r="54" spans="1:21" ht="19.5">
      <c r="A54" s="628">
        <f t="shared" si="1"/>
        <v>29</v>
      </c>
      <c r="B54" s="629"/>
      <c r="C54" s="620" t="s">
        <v>240</v>
      </c>
      <c r="D54" s="616"/>
      <c r="E54" s="651"/>
      <c r="F54" s="637"/>
      <c r="G54" s="651"/>
      <c r="H54" s="637"/>
      <c r="I54" s="651"/>
      <c r="J54" s="637"/>
      <c r="K54" s="651"/>
      <c r="L54" s="616"/>
      <c r="M54" s="633">
        <f>SUM(E54:K54)</f>
        <v>0</v>
      </c>
      <c r="O54" s="173"/>
    </row>
    <row r="55" spans="1:21" ht="19.5">
      <c r="A55" s="628">
        <f t="shared" si="1"/>
        <v>30</v>
      </c>
      <c r="B55" s="629"/>
      <c r="C55" s="630" t="str">
        <f>"Weighted Net Plant (Ln "&amp;A53&amp;" * Ln "&amp;A54&amp;")"</f>
        <v>Weighted Net Plant (Ln 28 * Ln 29)</v>
      </c>
      <c r="D55" s="616"/>
      <c r="E55" s="633">
        <f>+E53*E54</f>
        <v>0</v>
      </c>
      <c r="F55" s="616"/>
      <c r="G55" s="633">
        <f>+G53*G54</f>
        <v>0</v>
      </c>
      <c r="H55" s="616"/>
      <c r="I55" s="633">
        <f>+I53*I54</f>
        <v>0</v>
      </c>
      <c r="J55" s="616"/>
      <c r="K55" s="633">
        <f>+K53*K54</f>
        <v>0</v>
      </c>
      <c r="L55" s="616"/>
      <c r="M55" s="633"/>
      <c r="O55" s="173"/>
      <c r="P55" s="173"/>
      <c r="Q55" s="173"/>
      <c r="R55" s="173"/>
      <c r="S55" s="173"/>
      <c r="T55" s="173"/>
      <c r="U55" s="173"/>
    </row>
    <row r="56" spans="1:21" ht="19.5">
      <c r="A56" s="628">
        <f t="shared" si="1"/>
        <v>31</v>
      </c>
      <c r="B56" s="629"/>
      <c r="C56" s="616" t="str">
        <f>+"General Plant Allocator (Ln "&amp;A55&amp;" / (Total - General Plant))"</f>
        <v>General Plant Allocator (Ln 30 / (Total - General Plant))</v>
      </c>
      <c r="D56" s="616"/>
      <c r="E56" s="640">
        <f>IF(E54=0,0,+E55/($E55+$G55+$I55))</f>
        <v>0</v>
      </c>
      <c r="F56" s="616"/>
      <c r="G56" s="640">
        <v>1</v>
      </c>
      <c r="H56" s="616"/>
      <c r="I56" s="640">
        <f>IF(I54=0,0,+I55/($E55+$G55+$I55))</f>
        <v>0</v>
      </c>
      <c r="J56" s="616"/>
      <c r="K56" s="640">
        <v>-1</v>
      </c>
      <c r="L56" s="616"/>
      <c r="M56" s="616"/>
      <c r="O56" s="173"/>
      <c r="P56" s="173"/>
      <c r="Q56" s="173"/>
      <c r="R56" s="173"/>
      <c r="S56" s="173"/>
      <c r="T56" s="173"/>
      <c r="U56" s="173"/>
    </row>
    <row r="57" spans="1:21" ht="19.5">
      <c r="A57" s="628">
        <f t="shared" si="1"/>
        <v>32</v>
      </c>
      <c r="B57" s="629"/>
      <c r="C57" s="616" t="str">
        <f>"Functionalized General Plant (Ln "&amp;A56&amp;" * General Plant)"</f>
        <v>Functionalized General Plant (Ln 31 * General Plant)</v>
      </c>
      <c r="D57" s="616"/>
      <c r="E57" s="641">
        <f>ROUND($K55*E56,0)</f>
        <v>0</v>
      </c>
      <c r="F57" s="616"/>
      <c r="G57" s="641">
        <f>+G56*K55</f>
        <v>0</v>
      </c>
      <c r="H57" s="616"/>
      <c r="I57" s="641">
        <f>ROUND($K55*I56,0)</f>
        <v>0</v>
      </c>
      <c r="J57" s="616"/>
      <c r="K57" s="641">
        <f>ROUND($K55*K56,0)</f>
        <v>0</v>
      </c>
      <c r="L57" s="616"/>
      <c r="M57" s="633">
        <f>IF(SUM(E57:K57)&lt;&gt;0,0,0)</f>
        <v>0</v>
      </c>
      <c r="O57" s="173"/>
      <c r="P57" s="173"/>
      <c r="Q57" s="173"/>
      <c r="R57" s="173"/>
      <c r="S57" s="173"/>
      <c r="T57" s="173"/>
      <c r="U57" s="173"/>
    </row>
    <row r="58" spans="1:21" ht="19.5">
      <c r="A58" s="628">
        <f t="shared" si="1"/>
        <v>33</v>
      </c>
      <c r="B58" s="629"/>
      <c r="C58" s="616" t="str">
        <f>"Weighted "&amp;C49&amp;" Plant (Ln "&amp;A55&amp;" + "&amp;A57&amp;")"</f>
        <v>Weighted WEST VIRGINIA JURISDICTION Plant (Ln 30 + 32)</v>
      </c>
      <c r="D58" s="616"/>
      <c r="E58" s="633">
        <f>+E55+E57</f>
        <v>0</v>
      </c>
      <c r="F58" s="616"/>
      <c r="G58" s="635">
        <f>+G55+G57</f>
        <v>0</v>
      </c>
      <c r="H58" s="616"/>
      <c r="I58" s="633">
        <f>+I55+I57</f>
        <v>0</v>
      </c>
      <c r="J58" s="616"/>
      <c r="K58" s="633">
        <f>+K55+K57</f>
        <v>0</v>
      </c>
      <c r="L58" s="616"/>
      <c r="M58" s="633">
        <f>SUM(E58:K58)-SUM(E57:K57)</f>
        <v>0</v>
      </c>
      <c r="O58" s="173"/>
    </row>
    <row r="59" spans="1:21" ht="19.5">
      <c r="A59" s="628">
        <f>+A58+1</f>
        <v>34</v>
      </c>
      <c r="B59" s="629"/>
      <c r="C59" s="616" t="str">
        <f>"Functional Percentage (Ln "&amp;A58&amp;"/Total Ln "&amp;A58&amp;")"</f>
        <v>Functional Percentage (Ln 33/Total Ln 33)</v>
      </c>
      <c r="D59" s="616"/>
      <c r="E59" s="634">
        <f>IF(E58=0,0,+E58/$M$58)</f>
        <v>0</v>
      </c>
      <c r="F59" s="616"/>
      <c r="G59" s="634">
        <v>1</v>
      </c>
      <c r="H59" s="616"/>
      <c r="I59" s="634">
        <f>IF(I58=0,0,+I58/$M$58)</f>
        <v>0</v>
      </c>
      <c r="J59" s="616"/>
      <c r="K59" s="173"/>
      <c r="L59" s="616"/>
      <c r="M59" s="633"/>
      <c r="O59" s="173"/>
    </row>
    <row r="60" spans="1:21" ht="19.5">
      <c r="A60" s="628"/>
      <c r="B60" s="629"/>
      <c r="C60" s="648" t="s">
        <v>613</v>
      </c>
      <c r="D60" s="616"/>
      <c r="E60" s="633"/>
      <c r="F60" s="616"/>
      <c r="G60" s="642"/>
      <c r="H60" s="616"/>
      <c r="I60" s="633"/>
      <c r="J60" s="616"/>
      <c r="K60" s="634"/>
      <c r="L60" s="616"/>
      <c r="M60" s="633"/>
      <c r="O60" s="173"/>
    </row>
    <row r="61" spans="1:21" ht="19.5">
      <c r="A61" s="628">
        <f>A59+1</f>
        <v>35</v>
      </c>
      <c r="B61" s="629"/>
      <c r="C61" s="649" t="str">
        <f>"Net Plant in "&amp;C60&amp;" (Ln "&amp;A48&amp;" - Ln "&amp;A51&amp;")"</f>
        <v>Net Plant in ____________ JURISDICTION (Ln 24 - Ln 26)</v>
      </c>
      <c r="D61" s="616"/>
      <c r="E61" s="633">
        <f>+E48-E51</f>
        <v>0</v>
      </c>
      <c r="F61" s="616"/>
      <c r="G61" s="633">
        <f>+G48-G51</f>
        <v>135759268.2224353</v>
      </c>
      <c r="H61" s="616"/>
      <c r="I61" s="633">
        <f>+I48-I51</f>
        <v>0</v>
      </c>
      <c r="J61" s="616"/>
      <c r="K61" s="633">
        <f>+K48-K51</f>
        <v>713365.4758235442</v>
      </c>
      <c r="L61" s="616"/>
      <c r="M61" s="633">
        <f>SUM(E61:K61)</f>
        <v>136472633.69825885</v>
      </c>
      <c r="O61" s="173"/>
    </row>
    <row r="62" spans="1:21" ht="19.5">
      <c r="A62" s="628">
        <f t="shared" ref="A62:A68" si="2">+A61+1</f>
        <v>36</v>
      </c>
      <c r="B62" s="629"/>
      <c r="C62" s="630" t="s">
        <v>540</v>
      </c>
      <c r="D62" s="616"/>
      <c r="E62" s="651"/>
      <c r="F62" s="616"/>
      <c r="G62" s="638"/>
      <c r="H62" s="616"/>
      <c r="I62" s="638"/>
      <c r="J62" s="616"/>
      <c r="K62" s="639"/>
      <c r="L62" s="616"/>
      <c r="M62" s="633"/>
      <c r="O62" s="173"/>
    </row>
    <row r="63" spans="1:21" ht="19.5">
      <c r="A63" s="628">
        <f t="shared" si="2"/>
        <v>37</v>
      </c>
      <c r="B63" s="629"/>
      <c r="C63" s="616" t="s">
        <v>241</v>
      </c>
      <c r="D63" s="616"/>
      <c r="E63" s="633">
        <f>+E61-E62</f>
        <v>0</v>
      </c>
      <c r="F63" s="616"/>
      <c r="G63" s="633">
        <f>+G61-G62</f>
        <v>135759268.2224353</v>
      </c>
      <c r="H63" s="616"/>
      <c r="I63" s="633">
        <f>+I61-I62</f>
        <v>0</v>
      </c>
      <c r="J63" s="616"/>
      <c r="K63" s="633">
        <f>+K61-K62</f>
        <v>713365.4758235442</v>
      </c>
      <c r="L63" s="616"/>
      <c r="M63" s="633">
        <f>SUM(E63:K63)</f>
        <v>136472633.69825885</v>
      </c>
      <c r="O63" s="173"/>
    </row>
    <row r="64" spans="1:21" ht="19.5">
      <c r="A64" s="628">
        <f t="shared" si="2"/>
        <v>38</v>
      </c>
      <c r="B64" s="629"/>
      <c r="C64" s="620" t="s">
        <v>240</v>
      </c>
      <c r="D64" s="616"/>
      <c r="E64" s="651"/>
      <c r="F64" s="637"/>
      <c r="G64" s="651"/>
      <c r="H64" s="637"/>
      <c r="I64" s="651"/>
      <c r="J64" s="637"/>
      <c r="K64" s="651"/>
      <c r="L64" s="616"/>
      <c r="M64" s="633"/>
      <c r="O64" s="173"/>
    </row>
    <row r="65" spans="1:15" ht="19.5">
      <c r="A65" s="628">
        <f t="shared" si="2"/>
        <v>39</v>
      </c>
      <c r="B65" s="629"/>
      <c r="C65" s="616" t="str">
        <f>"Weighted Net Plant (Ln "&amp;A63&amp;" * Ln "&amp;A64&amp;")"</f>
        <v>Weighted Net Plant (Ln 37 * Ln 38)</v>
      </c>
      <c r="D65" s="616"/>
      <c r="E65" s="633">
        <f>+E63*E64</f>
        <v>0</v>
      </c>
      <c r="F65" s="616"/>
      <c r="G65" s="633">
        <f>+G63*G64</f>
        <v>0</v>
      </c>
      <c r="H65" s="616"/>
      <c r="I65" s="633">
        <f>+I63*I64</f>
        <v>0</v>
      </c>
      <c r="J65" s="616"/>
      <c r="K65" s="633">
        <f>+K63*K64</f>
        <v>0</v>
      </c>
      <c r="L65" s="616"/>
      <c r="M65" s="633"/>
      <c r="O65" s="173"/>
    </row>
    <row r="66" spans="1:15" ht="19.5">
      <c r="A66" s="628">
        <f t="shared" si="2"/>
        <v>40</v>
      </c>
      <c r="B66" s="629"/>
      <c r="C66" s="616" t="str">
        <f>+"General Plant Allocator (Ln "&amp;A65&amp;" / (Total - General Plant)"</f>
        <v>General Plant Allocator (Ln 39 / (Total - General Plant)</v>
      </c>
      <c r="D66" s="616"/>
      <c r="E66" s="640">
        <f>IF(E64=0,0,+E65/($E65+$G65+$I65))</f>
        <v>0</v>
      </c>
      <c r="F66" s="616"/>
      <c r="G66" s="640">
        <v>1</v>
      </c>
      <c r="H66" s="616"/>
      <c r="I66" s="640">
        <f>IF(I64=0,0,+I65/($E65+$G65+$I65))</f>
        <v>0</v>
      </c>
      <c r="J66" s="616"/>
      <c r="K66" s="640">
        <v>-1</v>
      </c>
      <c r="L66" s="616"/>
      <c r="M66" s="633"/>
      <c r="O66" s="173"/>
    </row>
    <row r="67" spans="1:15" ht="19.5">
      <c r="A67" s="628">
        <f t="shared" si="2"/>
        <v>41</v>
      </c>
      <c r="B67" s="629"/>
      <c r="C67" s="616" t="str">
        <f>"Functionalized General Plant (Ln "&amp;A67&amp;" * General Plant)"</f>
        <v>Functionalized General Plant (Ln 41 * General Plant)</v>
      </c>
      <c r="D67" s="616"/>
      <c r="E67" s="641">
        <f>ROUND($K65*E66,0)</f>
        <v>0</v>
      </c>
      <c r="F67" s="616"/>
      <c r="G67" s="641">
        <f>ROUND($K65*G66,0)</f>
        <v>0</v>
      </c>
      <c r="H67" s="616"/>
      <c r="I67" s="641">
        <f>ROUND($K65*I66,0)</f>
        <v>0</v>
      </c>
      <c r="J67" s="616"/>
      <c r="K67" s="641">
        <f>ROUND($K65*K66,0)</f>
        <v>0</v>
      </c>
      <c r="L67" s="616"/>
      <c r="M67" s="633"/>
      <c r="O67" s="173"/>
    </row>
    <row r="68" spans="1:15" ht="19.5">
      <c r="A68" s="628">
        <f t="shared" si="2"/>
        <v>42</v>
      </c>
      <c r="B68" s="629"/>
      <c r="C68" s="650" t="str">
        <f>"Weighted "&amp;C60&amp;" Plant (Ln "&amp;A65&amp;" + "&amp;A67&amp;")"</f>
        <v>Weighted ____________ JURISDICTION Plant (Ln 39 + 41)</v>
      </c>
      <c r="D68" s="616"/>
      <c r="E68" s="633">
        <f>+E65+E67</f>
        <v>0</v>
      </c>
      <c r="F68" s="616"/>
      <c r="G68" s="635">
        <f>+G65+G67</f>
        <v>0</v>
      </c>
      <c r="H68" s="616"/>
      <c r="I68" s="633">
        <f>+I65+I67</f>
        <v>0</v>
      </c>
      <c r="J68" s="616"/>
      <c r="K68" s="633">
        <f>+K65+K67</f>
        <v>0</v>
      </c>
      <c r="L68" s="616"/>
      <c r="M68" s="633">
        <f>SUM(E68:K68)-SUM(E67:K67)</f>
        <v>0</v>
      </c>
      <c r="O68" s="173"/>
    </row>
    <row r="69" spans="1:15" ht="19.5">
      <c r="A69" s="628">
        <f>+A68+1</f>
        <v>43</v>
      </c>
      <c r="B69" s="629"/>
      <c r="C69" s="616" t="str">
        <f>"Functional Percentage (Ln "&amp;A68&amp;"/Total Ln "&amp;A68&amp;")"</f>
        <v>Functional Percentage (Ln 42/Total Ln 42)</v>
      </c>
      <c r="D69" s="616"/>
      <c r="E69" s="634">
        <f>IF(E68=0,0,+E68/$M$68)</f>
        <v>0</v>
      </c>
      <c r="F69" s="616"/>
      <c r="G69" s="634">
        <v>1</v>
      </c>
      <c r="H69" s="616"/>
      <c r="I69" s="634">
        <f>IF(I68=0,0,+I68/$M$68)</f>
        <v>0</v>
      </c>
      <c r="J69" s="173"/>
      <c r="K69" s="173"/>
      <c r="L69" s="616"/>
      <c r="M69" s="633"/>
      <c r="O69" s="173"/>
    </row>
    <row r="70" spans="1:15" ht="19.5">
      <c r="A70" s="628"/>
      <c r="B70" s="629"/>
      <c r="C70" s="616"/>
      <c r="D70" s="616"/>
      <c r="E70" s="620"/>
      <c r="F70" s="620"/>
      <c r="G70" s="620"/>
      <c r="H70" s="620"/>
      <c r="I70" s="620"/>
      <c r="J70" s="616"/>
      <c r="K70" s="643"/>
      <c r="L70" s="616"/>
      <c r="M70" s="620"/>
      <c r="O70" s="173"/>
    </row>
    <row r="71" spans="1:15" ht="19.5">
      <c r="A71" s="628"/>
      <c r="B71" s="629"/>
      <c r="D71" s="616"/>
      <c r="E71" s="643"/>
      <c r="F71" s="616"/>
      <c r="G71" s="643"/>
      <c r="H71" s="616"/>
      <c r="I71" s="643"/>
      <c r="J71" s="616"/>
      <c r="K71" s="643"/>
      <c r="L71" s="616"/>
      <c r="M71" s="620"/>
      <c r="O71" s="173"/>
    </row>
    <row r="72" spans="1:15" ht="12.75">
      <c r="O72" s="173"/>
    </row>
    <row r="73" spans="1:15" ht="12.75">
      <c r="O73" s="173"/>
    </row>
    <row r="74" spans="1:15" ht="12.75">
      <c r="G74" s="646"/>
      <c r="O74" s="173"/>
    </row>
    <row r="215" spans="7:7" ht="15.75" thickBot="1"/>
    <row r="216" spans="7:7" ht="20.25" thickBot="1">
      <c r="G216" s="647"/>
    </row>
  </sheetData>
  <mergeCells count="7">
    <mergeCell ref="A8:M8"/>
    <mergeCell ref="A7:M7"/>
    <mergeCell ref="C46:M46"/>
    <mergeCell ref="A3:M3"/>
    <mergeCell ref="A4:M4"/>
    <mergeCell ref="A5:M5"/>
    <mergeCell ref="A6:M6"/>
  </mergeCells>
  <phoneticPr fontId="70" type="noConversion"/>
  <pageMargins left="0.82" right="1.28" top="0.81" bottom="1" header="0.75" footer="0.5"/>
  <pageSetup scale="37" orientation="portrait" r:id="rId1"/>
  <headerFooter alignWithMargins="0">
    <oddHeader>&amp;R&amp;"Arial,Bold"Formula Rate 
&amp;A
Page &amp;P of &amp;N</oddHeader>
  </headerFooter>
  <colBreaks count="1" manualBreakCount="1">
    <brk id="13" min="2" max="90" man="1"/>
  </col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pageSetUpPr fitToPage="1"/>
  </sheetPr>
  <dimension ref="A1:T123"/>
  <sheetViews>
    <sheetView view="pageBreakPreview" topLeftCell="A63" zoomScale="60" zoomScaleNormal="60" workbookViewId="0">
      <selection activeCell="F99" sqref="F99"/>
    </sheetView>
  </sheetViews>
  <sheetFormatPr defaultRowHeight="12.75"/>
  <cols>
    <col min="1" max="1" width="7.28515625" style="71" customWidth="1"/>
    <col min="2" max="2" width="1.7109375" style="72" customWidth="1"/>
    <col min="3" max="3" width="65" style="72" customWidth="1"/>
    <col min="4" max="4" width="19.140625" style="72" customWidth="1"/>
    <col min="5" max="5" width="20.42578125" style="66" customWidth="1"/>
    <col min="6" max="6" width="20.42578125" style="59" bestFit="1" customWidth="1"/>
    <col min="7" max="7" width="35.7109375" style="59" bestFit="1" customWidth="1"/>
    <col min="8" max="8" width="17.7109375" style="59" customWidth="1"/>
    <col min="9" max="9" width="22.42578125" style="59" customWidth="1"/>
    <col min="10" max="16384" width="9.140625" style="59"/>
  </cols>
  <sheetData>
    <row r="1" spans="1:20" ht="15.75">
      <c r="A1" s="1005" t="s">
        <v>406</v>
      </c>
      <c r="B1" s="72" t="s">
        <v>406</v>
      </c>
    </row>
    <row r="2" spans="1:20" ht="15.75">
      <c r="A2" s="1005" t="s">
        <v>406</v>
      </c>
    </row>
    <row r="3" spans="1:20" ht="18.75" customHeight="1">
      <c r="A3" s="1489" t="str">
        <f>TCOS!$F$5</f>
        <v>AEPTCo subsidiaries in PJM</v>
      </c>
      <c r="B3" s="1489" t="str">
        <f>TCOS!$F$5</f>
        <v>AEPTCo subsidiaries in PJM</v>
      </c>
      <c r="C3" s="1489" t="str">
        <f>TCOS!$F$5</f>
        <v>AEPTCo subsidiaries in PJM</v>
      </c>
      <c r="D3" s="1489" t="str">
        <f>TCOS!$F$5</f>
        <v>AEPTCo subsidiaries in PJM</v>
      </c>
      <c r="E3" s="1489" t="str">
        <f>TCOS!$F$5</f>
        <v>AEPTCo subsidiaries in PJM</v>
      </c>
      <c r="F3" s="1527"/>
      <c r="G3" s="1527"/>
    </row>
    <row r="4" spans="1:20" ht="18.75" customHeight="1">
      <c r="A4" s="1489" t="str">
        <f>"Cost of Service Formula Rate Using Actual/Projected FF1 Balances"</f>
        <v>Cost of Service Formula Rate Using Actual/Projected FF1 Balances</v>
      </c>
      <c r="B4" s="1489"/>
      <c r="C4" s="1489"/>
      <c r="D4" s="1489"/>
      <c r="E4" s="1489"/>
      <c r="F4" s="1527"/>
      <c r="G4" s="1527"/>
      <c r="H4" s="1489"/>
      <c r="I4" s="1489"/>
      <c r="J4" s="1489"/>
      <c r="K4" s="1489"/>
      <c r="L4" s="1489"/>
      <c r="M4" s="1527"/>
    </row>
    <row r="5" spans="1:20" ht="18.75" customHeight="1">
      <c r="A5" s="1482" t="s">
        <v>246</v>
      </c>
      <c r="B5" s="1482"/>
      <c r="C5" s="1482"/>
      <c r="D5" s="1482"/>
      <c r="E5" s="1482"/>
      <c r="F5" s="1527"/>
      <c r="G5" s="1527"/>
    </row>
    <row r="6" spans="1:20" ht="18" customHeight="1">
      <c r="A6" s="1529" t="str">
        <f>+TCOS!F9</f>
        <v>AEP Appalachian Transmission Company</v>
      </c>
      <c r="B6" s="1529"/>
      <c r="C6" s="1529"/>
      <c r="D6" s="1529"/>
      <c r="E6" s="1529"/>
      <c r="F6" s="1530"/>
      <c r="G6" s="1530"/>
      <c r="H6" s="133"/>
      <c r="I6" s="133"/>
      <c r="J6" s="133"/>
      <c r="K6" s="133"/>
      <c r="L6" s="133"/>
      <c r="M6" s="133"/>
    </row>
    <row r="7" spans="1:20" ht="18" customHeight="1">
      <c r="A7" s="81"/>
      <c r="B7" s="81"/>
      <c r="C7" s="81"/>
      <c r="D7" s="81"/>
      <c r="E7" s="81"/>
      <c r="F7" s="81"/>
    </row>
    <row r="8" spans="1:20" ht="19.5" customHeight="1">
      <c r="A8" s="61"/>
      <c r="B8" s="62"/>
      <c r="C8" s="19" t="s">
        <v>452</v>
      </c>
      <c r="E8" s="19" t="s">
        <v>453</v>
      </c>
      <c r="F8" s="116" t="s">
        <v>454</v>
      </c>
      <c r="G8" s="116" t="s">
        <v>455</v>
      </c>
    </row>
    <row r="9" spans="1:20" ht="18">
      <c r="A9" s="96"/>
      <c r="B9" s="97"/>
      <c r="C9" s="97"/>
      <c r="D9" s="97"/>
      <c r="E9"/>
      <c r="F9" s="7"/>
      <c r="G9" s="117"/>
      <c r="H9" s="21"/>
      <c r="I9" s="21"/>
      <c r="J9" s="21"/>
      <c r="K9" s="21"/>
      <c r="L9" s="21"/>
      <c r="M9" s="21"/>
      <c r="N9" s="21"/>
      <c r="O9" s="21"/>
      <c r="P9" s="21"/>
      <c r="Q9" s="21"/>
      <c r="R9" s="21"/>
      <c r="S9" s="21"/>
      <c r="T9" s="21"/>
    </row>
    <row r="10" spans="1:20" ht="18">
      <c r="A10" s="96" t="s">
        <v>459</v>
      </c>
      <c r="B10" s="97"/>
      <c r="C10" s="97"/>
      <c r="D10" s="97"/>
      <c r="E10" s="98" t="s">
        <v>410</v>
      </c>
      <c r="F10" s="118" t="s">
        <v>2</v>
      </c>
      <c r="G10" s="119"/>
    </row>
    <row r="11" spans="1:20" ht="18">
      <c r="A11" s="99" t="s">
        <v>409</v>
      </c>
      <c r="B11" s="120"/>
      <c r="C11" s="99" t="s">
        <v>260</v>
      </c>
      <c r="D11" s="120"/>
      <c r="E11" s="100" t="s">
        <v>473</v>
      </c>
      <c r="F11" s="99" t="s">
        <v>3</v>
      </c>
      <c r="G11" s="100" t="s">
        <v>4</v>
      </c>
    </row>
    <row r="12" spans="1:20" ht="18">
      <c r="A12" s="63"/>
      <c r="B12" s="62"/>
      <c r="C12" s="58"/>
      <c r="D12" s="58"/>
      <c r="E12" s="58"/>
      <c r="F12" s="118"/>
      <c r="G12" s="121"/>
    </row>
    <row r="13" spans="1:20" ht="19.5">
      <c r="A13" s="61">
        <v>1</v>
      </c>
      <c r="B13" s="62"/>
      <c r="C13" s="64" t="s">
        <v>118</v>
      </c>
      <c r="D13" s="62"/>
      <c r="E13" s="57"/>
      <c r="F13" s="60"/>
    </row>
    <row r="14" spans="1:20" ht="19.5">
      <c r="A14" s="61">
        <f>+A13+1</f>
        <v>2</v>
      </c>
      <c r="B14" s="62"/>
      <c r="C14" s="57" t="s">
        <v>103</v>
      </c>
      <c r="D14" s="62"/>
      <c r="E14" s="128">
        <f>SUM(F15:F21)</f>
        <v>0</v>
      </c>
      <c r="F14" s="70"/>
      <c r="G14" s="122"/>
    </row>
    <row r="15" spans="1:20" ht="19.5">
      <c r="A15" s="61"/>
      <c r="B15" s="62"/>
      <c r="C15" s="57"/>
      <c r="D15" s="62"/>
      <c r="E15" s="123"/>
      <c r="F15" s="652">
        <v>0</v>
      </c>
      <c r="G15" s="124"/>
    </row>
    <row r="16" spans="1:20" ht="19.5">
      <c r="A16" s="61"/>
      <c r="B16" s="62"/>
      <c r="C16" s="57"/>
      <c r="D16" s="62"/>
      <c r="E16" s="123"/>
      <c r="F16" s="652"/>
      <c r="G16" s="124"/>
    </row>
    <row r="17" spans="1:9" ht="19.5">
      <c r="A17" s="61"/>
      <c r="B17" s="62"/>
      <c r="C17" s="57"/>
      <c r="D17" s="62"/>
      <c r="E17" s="123"/>
      <c r="F17" s="1068"/>
      <c r="G17" s="124"/>
    </row>
    <row r="18" spans="1:9" ht="19.5">
      <c r="A18" s="1071"/>
      <c r="B18" s="1072"/>
      <c r="C18" s="1009"/>
      <c r="D18" s="1072"/>
      <c r="E18" s="1008"/>
      <c r="F18" s="1007"/>
      <c r="G18" s="1006"/>
      <c r="H18" s="1010"/>
      <c r="I18" s="1010"/>
    </row>
    <row r="19" spans="1:9" ht="18">
      <c r="A19" s="1256"/>
      <c r="B19" s="1257"/>
      <c r="C19" s="1259" t="s">
        <v>452</v>
      </c>
      <c r="D19" s="1259" t="s">
        <v>453</v>
      </c>
      <c r="E19" s="1260" t="s">
        <v>454</v>
      </c>
      <c r="F19" s="1260" t="s">
        <v>455</v>
      </c>
      <c r="G19" s="1260" t="s">
        <v>375</v>
      </c>
      <c r="H19" s="1261" t="s">
        <v>376</v>
      </c>
      <c r="I19" s="1260" t="s">
        <v>377</v>
      </c>
    </row>
    <row r="20" spans="1:9" ht="47.25">
      <c r="A20" s="1256"/>
      <c r="B20" s="1257"/>
      <c r="C20" s="1262" t="s">
        <v>696</v>
      </c>
      <c r="D20" s="1263" t="s">
        <v>692</v>
      </c>
      <c r="E20" s="1264" t="s">
        <v>693</v>
      </c>
      <c r="F20" s="1264" t="s">
        <v>694</v>
      </c>
      <c r="G20" s="1264" t="s">
        <v>4</v>
      </c>
      <c r="H20" s="1265" t="s">
        <v>695</v>
      </c>
      <c r="I20" s="1265" t="s">
        <v>697</v>
      </c>
    </row>
    <row r="21" spans="1:9" ht="19.5">
      <c r="A21" s="1256"/>
      <c r="B21" s="1257"/>
      <c r="C21" s="70"/>
      <c r="D21" s="1257"/>
      <c r="E21" s="128"/>
      <c r="F21" s="1013"/>
      <c r="G21" s="122"/>
      <c r="H21" s="122"/>
      <c r="I21" s="122"/>
    </row>
    <row r="22" spans="1:9" ht="58.5">
      <c r="A22" s="1256">
        <f>+A14+1</f>
        <v>3</v>
      </c>
      <c r="B22" s="1257"/>
      <c r="C22" s="1258" t="str">
        <f>"Real Estate and Personal Property Taxes Total
 (Ln "&amp;A23&amp;" + Ln "&amp;A30 &amp;" + Ln "&amp;A37&amp;" + Ln "&amp;A40&amp;")"</f>
        <v>Real Estate and Personal Property Taxes Total
 (Ln 4 + Ln 5 + Ln 6 + Ln 7)</v>
      </c>
      <c r="D22" s="1257"/>
      <c r="E22" s="1074">
        <f>E23+E30+E37+E40</f>
        <v>873999.99999999895</v>
      </c>
      <c r="F22" s="128"/>
      <c r="G22" s="70"/>
      <c r="H22" s="122"/>
      <c r="I22" s="1074">
        <f>I23+I30+I37+I40</f>
        <v>873999.99999999895</v>
      </c>
    </row>
    <row r="23" spans="1:9" ht="19.5">
      <c r="A23" s="61">
        <f>+A22+1</f>
        <v>4</v>
      </c>
      <c r="B23" s="62"/>
      <c r="C23" s="60" t="s">
        <v>609</v>
      </c>
      <c r="D23" s="60"/>
      <c r="E23" s="128">
        <f>SUM(F24:F29)</f>
        <v>0</v>
      </c>
      <c r="F23" s="123"/>
      <c r="G23" s="70"/>
      <c r="I23" s="128">
        <f>SUM(I24:I29)</f>
        <v>0</v>
      </c>
    </row>
    <row r="24" spans="1:9" ht="19.5">
      <c r="A24" s="61"/>
      <c r="B24" s="62"/>
      <c r="C24" s="60"/>
      <c r="D24" s="60"/>
      <c r="E24" s="128"/>
      <c r="F24" s="1070">
        <v>0</v>
      </c>
      <c r="G24" s="1015"/>
      <c r="H24" s="1014"/>
      <c r="I24" s="1013">
        <f t="shared" ref="I24:I29" si="0">F24*H24</f>
        <v>0</v>
      </c>
    </row>
    <row r="25" spans="1:9" ht="19.5">
      <c r="A25" s="61"/>
      <c r="B25" s="62"/>
      <c r="C25" s="60"/>
      <c r="D25" s="60"/>
      <c r="E25" s="128"/>
      <c r="F25" s="652"/>
      <c r="G25" s="1015"/>
      <c r="H25" s="1070"/>
      <c r="I25" s="1013">
        <f t="shared" si="0"/>
        <v>0</v>
      </c>
    </row>
    <row r="26" spans="1:9" ht="19.5">
      <c r="A26" s="61"/>
      <c r="B26" s="62"/>
      <c r="C26" s="60"/>
      <c r="D26" s="60"/>
      <c r="E26" s="128"/>
      <c r="F26" s="652"/>
      <c r="G26" s="1015"/>
      <c r="H26" s="1070"/>
      <c r="I26" s="1013">
        <f t="shared" si="0"/>
        <v>0</v>
      </c>
    </row>
    <row r="27" spans="1:9" ht="19.5">
      <c r="A27" s="61"/>
      <c r="B27" s="62"/>
      <c r="C27" s="60"/>
      <c r="D27" s="60"/>
      <c r="E27" s="128"/>
      <c r="F27" s="652"/>
      <c r="G27" s="1015"/>
      <c r="H27" s="1070"/>
      <c r="I27" s="1013">
        <f t="shared" si="0"/>
        <v>0</v>
      </c>
    </row>
    <row r="28" spans="1:9" ht="19.5">
      <c r="A28" s="61"/>
      <c r="B28" s="62"/>
      <c r="C28" s="60"/>
      <c r="D28" s="60"/>
      <c r="E28" s="128"/>
      <c r="F28" s="652"/>
      <c r="G28" s="1015"/>
      <c r="H28" s="1070"/>
      <c r="I28" s="1013">
        <f t="shared" si="0"/>
        <v>0</v>
      </c>
    </row>
    <row r="29" spans="1:9" ht="19.5">
      <c r="A29" s="61"/>
      <c r="B29" s="62"/>
      <c r="C29" s="60"/>
      <c r="D29" s="60"/>
      <c r="E29" s="128"/>
      <c r="F29" s="652"/>
      <c r="G29" s="1015"/>
      <c r="H29" s="1070"/>
      <c r="I29" s="1013">
        <f t="shared" si="0"/>
        <v>0</v>
      </c>
    </row>
    <row r="30" spans="1:9" ht="19.5">
      <c r="A30" s="61">
        <f>+A23+1</f>
        <v>5</v>
      </c>
      <c r="B30" s="62"/>
      <c r="C30" s="60" t="s">
        <v>610</v>
      </c>
      <c r="D30" s="60"/>
      <c r="E30" s="128">
        <f>SUM(F31:F36)</f>
        <v>484.83245681156234</v>
      </c>
      <c r="F30" s="80"/>
      <c r="G30" s="70"/>
      <c r="I30" s="1069">
        <f>SUM(I31:I36)</f>
        <v>484.83245681156234</v>
      </c>
    </row>
    <row r="31" spans="1:9" ht="19.5">
      <c r="A31" s="61"/>
      <c r="B31" s="62"/>
      <c r="C31" s="60"/>
      <c r="D31" s="60"/>
      <c r="E31" s="128"/>
      <c r="F31" s="1070">
        <v>484.83245681156234</v>
      </c>
      <c r="G31" s="1015"/>
      <c r="H31" s="1014">
        <v>1</v>
      </c>
      <c r="I31" s="1013">
        <f t="shared" ref="I31:I36" si="1">F31*H31</f>
        <v>484.83245681156234</v>
      </c>
    </row>
    <row r="32" spans="1:9" ht="19.5">
      <c r="A32" s="61"/>
      <c r="B32" s="62"/>
      <c r="C32" s="60"/>
      <c r="D32" s="60"/>
      <c r="E32" s="128"/>
      <c r="F32" s="1070"/>
      <c r="G32" s="1015"/>
      <c r="H32" s="1070"/>
      <c r="I32" s="1013">
        <f t="shared" si="1"/>
        <v>0</v>
      </c>
    </row>
    <row r="33" spans="1:9" ht="19.5">
      <c r="A33" s="61"/>
      <c r="B33" s="62"/>
      <c r="C33" s="60"/>
      <c r="D33" s="60"/>
      <c r="E33" s="128"/>
      <c r="F33" s="1070"/>
      <c r="G33" s="1015"/>
      <c r="H33" s="1070"/>
      <c r="I33" s="1013">
        <f t="shared" si="1"/>
        <v>0</v>
      </c>
    </row>
    <row r="34" spans="1:9" ht="19.5">
      <c r="A34" s="61"/>
      <c r="B34" s="62"/>
      <c r="C34" s="60"/>
      <c r="D34" s="60"/>
      <c r="E34" s="128"/>
      <c r="F34" s="1070"/>
      <c r="G34" s="1015"/>
      <c r="H34" s="1070"/>
      <c r="I34" s="1013">
        <f t="shared" si="1"/>
        <v>0</v>
      </c>
    </row>
    <row r="35" spans="1:9" ht="19.5">
      <c r="A35" s="61"/>
      <c r="B35" s="62"/>
      <c r="C35" s="60"/>
      <c r="D35" s="60"/>
      <c r="E35" s="128"/>
      <c r="F35" s="1070"/>
      <c r="G35" s="1015"/>
      <c r="H35" s="1070"/>
      <c r="I35" s="1013">
        <f t="shared" si="1"/>
        <v>0</v>
      </c>
    </row>
    <row r="36" spans="1:9" ht="19.5">
      <c r="A36" s="61"/>
      <c r="B36" s="62"/>
      <c r="C36" s="60"/>
      <c r="D36" s="60"/>
      <c r="E36" s="128"/>
      <c r="F36" s="1070"/>
      <c r="G36" s="1015"/>
      <c r="H36" s="1070"/>
      <c r="I36" s="1013">
        <f t="shared" si="1"/>
        <v>0</v>
      </c>
    </row>
    <row r="37" spans="1:9" ht="19.5">
      <c r="A37" s="61">
        <f>+A30+1</f>
        <v>6</v>
      </c>
      <c r="B37" s="62"/>
      <c r="C37" s="60" t="s">
        <v>611</v>
      </c>
      <c r="D37" s="60"/>
      <c r="E37" s="128">
        <f>+F38+F39</f>
        <v>873515.16754318739</v>
      </c>
      <c r="F37" s="70"/>
      <c r="I37" s="1069">
        <f>SUM(I38:I39)</f>
        <v>873515.16754318739</v>
      </c>
    </row>
    <row r="38" spans="1:9" ht="19.5">
      <c r="A38" s="61"/>
      <c r="B38" s="62"/>
      <c r="C38" s="60"/>
      <c r="D38" s="60"/>
      <c r="E38" s="128"/>
      <c r="F38" s="1070">
        <v>873515.16754318739</v>
      </c>
      <c r="G38" s="1015"/>
      <c r="H38" s="1014">
        <v>1</v>
      </c>
      <c r="I38" s="1013">
        <f>F38*H38</f>
        <v>873515.16754318739</v>
      </c>
    </row>
    <row r="39" spans="1:9" ht="19.5">
      <c r="A39" s="61"/>
      <c r="B39" s="62"/>
      <c r="C39" s="60"/>
      <c r="D39" s="60"/>
      <c r="E39" s="128"/>
      <c r="F39" s="1070"/>
      <c r="G39" s="1015"/>
      <c r="H39" s="1070"/>
      <c r="I39" s="1013">
        <f>F39*H39</f>
        <v>0</v>
      </c>
    </row>
    <row r="40" spans="1:9" ht="19.5">
      <c r="A40" s="61">
        <f>+A37+1</f>
        <v>7</v>
      </c>
      <c r="B40" s="62"/>
      <c r="C40" s="60" t="s">
        <v>243</v>
      </c>
      <c r="D40" s="105"/>
      <c r="E40" s="128">
        <f>+F41</f>
        <v>0</v>
      </c>
      <c r="F40" s="125"/>
      <c r="I40" s="1069">
        <f>SUM(I41)</f>
        <v>0</v>
      </c>
    </row>
    <row r="41" spans="1:9" ht="19.5">
      <c r="A41" s="61"/>
      <c r="B41" s="62"/>
      <c r="C41" s="60"/>
      <c r="D41" s="105"/>
      <c r="E41" s="128"/>
      <c r="F41" s="1070">
        <v>0</v>
      </c>
      <c r="G41" s="1015"/>
      <c r="H41" s="1070"/>
      <c r="I41" s="1013">
        <f>F41*H41</f>
        <v>0</v>
      </c>
    </row>
    <row r="42" spans="1:9" ht="19.5">
      <c r="A42" s="1071"/>
      <c r="B42" s="1072"/>
      <c r="C42" s="1073"/>
      <c r="D42" s="1012"/>
      <c r="E42" s="1074"/>
      <c r="F42" s="1011"/>
      <c r="G42" s="1010"/>
      <c r="H42" s="1010"/>
      <c r="I42" s="1010"/>
    </row>
    <row r="43" spans="1:9" ht="23.25" customHeight="1">
      <c r="A43" s="61"/>
      <c r="B43" s="62"/>
      <c r="C43" s="60"/>
      <c r="D43" s="105"/>
      <c r="E43" s="128"/>
      <c r="F43" s="125"/>
    </row>
    <row r="44" spans="1:9" ht="18">
      <c r="A44" s="61"/>
      <c r="B44" s="62"/>
      <c r="C44" s="19" t="s">
        <v>452</v>
      </c>
      <c r="E44" s="19" t="s">
        <v>453</v>
      </c>
      <c r="F44" s="116" t="s">
        <v>454</v>
      </c>
      <c r="G44" s="116" t="s">
        <v>455</v>
      </c>
    </row>
    <row r="45" spans="1:9" ht="18">
      <c r="A45" s="96"/>
      <c r="B45" s="97"/>
      <c r="C45" s="97"/>
      <c r="D45" s="97"/>
      <c r="E45"/>
      <c r="F45" s="7"/>
      <c r="G45" s="117"/>
    </row>
    <row r="46" spans="1:9" ht="18">
      <c r="A46" s="96" t="s">
        <v>459</v>
      </c>
      <c r="B46" s="97"/>
      <c r="C46" s="97"/>
      <c r="D46" s="97"/>
      <c r="E46" s="98" t="s">
        <v>410</v>
      </c>
      <c r="F46" s="118" t="s">
        <v>2</v>
      </c>
      <c r="G46" s="119"/>
    </row>
    <row r="47" spans="1:9" ht="18">
      <c r="A47" s="99" t="s">
        <v>409</v>
      </c>
      <c r="B47" s="120"/>
      <c r="C47" s="99" t="s">
        <v>260</v>
      </c>
      <c r="D47" s="120"/>
      <c r="E47" s="100" t="s">
        <v>473</v>
      </c>
      <c r="F47" s="99" t="s">
        <v>3</v>
      </c>
      <c r="G47" s="100" t="s">
        <v>4</v>
      </c>
    </row>
    <row r="48" spans="1:9" ht="19.5">
      <c r="A48" s="61"/>
      <c r="B48" s="62"/>
      <c r="C48" s="65"/>
      <c r="D48" s="62"/>
      <c r="E48" s="129"/>
    </row>
    <row r="49" spans="1:7" ht="19.5">
      <c r="A49" s="61">
        <f>+A40+1</f>
        <v>8</v>
      </c>
      <c r="B49" s="62"/>
      <c r="C49" s="64" t="s">
        <v>120</v>
      </c>
      <c r="D49" s="62"/>
      <c r="E49" s="129"/>
      <c r="F49" s="126"/>
      <c r="G49" s="70"/>
    </row>
    <row r="50" spans="1:7" ht="19.5">
      <c r="A50" s="61">
        <f>+A49+1</f>
        <v>9</v>
      </c>
      <c r="B50" s="62"/>
      <c r="C50" s="60" t="s">
        <v>116</v>
      </c>
      <c r="D50" s="62"/>
      <c r="E50" s="128">
        <f>+F51</f>
        <v>0</v>
      </c>
      <c r="F50" s="70"/>
      <c r="G50" s="70"/>
    </row>
    <row r="51" spans="1:7" ht="19.5">
      <c r="A51" s="61"/>
      <c r="B51" s="62"/>
      <c r="C51" s="60"/>
      <c r="D51" s="62"/>
      <c r="E51" s="128"/>
      <c r="F51" s="1070">
        <v>0</v>
      </c>
      <c r="G51" s="124"/>
    </row>
    <row r="52" spans="1:7" ht="19.5">
      <c r="A52" s="61">
        <f>+A50+1</f>
        <v>10</v>
      </c>
      <c r="B52" s="62"/>
      <c r="C52" s="60" t="s">
        <v>109</v>
      </c>
      <c r="D52" s="62"/>
      <c r="E52" s="128">
        <f>+F53</f>
        <v>0</v>
      </c>
      <c r="F52" s="70"/>
      <c r="G52" s="70"/>
    </row>
    <row r="53" spans="1:7" ht="19.5">
      <c r="A53" s="61"/>
      <c r="B53" s="62"/>
      <c r="C53" s="60"/>
      <c r="D53" s="62"/>
      <c r="E53" s="128"/>
      <c r="F53" s="1070">
        <v>0</v>
      </c>
      <c r="G53" s="124"/>
    </row>
    <row r="54" spans="1:7" ht="19.5">
      <c r="A54" s="61">
        <f>+A52+1</f>
        <v>11</v>
      </c>
      <c r="B54" s="62"/>
      <c r="C54" s="60" t="s">
        <v>110</v>
      </c>
      <c r="D54" s="62"/>
      <c r="E54" s="128">
        <f>+F55+F56+F57</f>
        <v>0</v>
      </c>
      <c r="F54" s="70"/>
      <c r="G54" s="70"/>
    </row>
    <row r="55" spans="1:7" ht="19.5">
      <c r="A55" s="61" t="s">
        <v>406</v>
      </c>
      <c r="B55" s="62"/>
      <c r="C55" s="57"/>
      <c r="D55" s="62"/>
      <c r="E55" s="129"/>
      <c r="F55" s="1070">
        <v>0</v>
      </c>
      <c r="G55" s="124"/>
    </row>
    <row r="56" spans="1:7" ht="19.5">
      <c r="A56" s="61"/>
      <c r="B56" s="62"/>
      <c r="C56" s="57"/>
      <c r="D56" s="62"/>
      <c r="E56" s="129"/>
      <c r="F56" s="652"/>
      <c r="G56" s="124"/>
    </row>
    <row r="57" spans="1:7" ht="19.5">
      <c r="A57" s="61"/>
      <c r="B57" s="62"/>
      <c r="C57" s="57"/>
      <c r="D57" s="62"/>
      <c r="E57" s="129"/>
      <c r="F57" s="652"/>
      <c r="G57" s="124"/>
    </row>
    <row r="58" spans="1:7" ht="19.5">
      <c r="A58" s="61">
        <f>A54+1</f>
        <v>12</v>
      </c>
      <c r="B58" s="62"/>
      <c r="C58" s="135" t="s">
        <v>315</v>
      </c>
      <c r="D58" s="62"/>
      <c r="E58" s="134"/>
      <c r="F58" s="70"/>
      <c r="G58" s="70"/>
    </row>
    <row r="59" spans="1:7" ht="19.5">
      <c r="A59" s="61">
        <f>A58+1</f>
        <v>13</v>
      </c>
      <c r="B59" s="62"/>
      <c r="C59" s="70" t="s">
        <v>214</v>
      </c>
      <c r="D59" s="105"/>
      <c r="E59" s="128">
        <f>+F60</f>
        <v>0</v>
      </c>
      <c r="G59" s="70"/>
    </row>
    <row r="60" spans="1:7" ht="19.5">
      <c r="A60" s="61"/>
      <c r="B60" s="62"/>
      <c r="C60" s="57"/>
      <c r="D60" s="62"/>
      <c r="E60" s="129"/>
      <c r="F60" s="1070">
        <v>0</v>
      </c>
      <c r="G60" s="70"/>
    </row>
    <row r="61" spans="1:7" ht="19.5">
      <c r="A61" s="67">
        <f>A59+1</f>
        <v>14</v>
      </c>
      <c r="B61" s="68"/>
      <c r="C61" s="64" t="s">
        <v>117</v>
      </c>
      <c r="D61" s="69"/>
      <c r="E61" s="129"/>
      <c r="F61" s="123"/>
      <c r="G61" s="70"/>
    </row>
    <row r="62" spans="1:7" ht="19.5">
      <c r="A62" s="67">
        <f>A61+1</f>
        <v>15</v>
      </c>
      <c r="B62" s="68"/>
      <c r="C62" s="57" t="s">
        <v>213</v>
      </c>
      <c r="D62" s="69"/>
      <c r="E62" s="128">
        <f>+F63+F64</f>
        <v>0</v>
      </c>
      <c r="F62" s="70"/>
      <c r="G62" s="70"/>
    </row>
    <row r="63" spans="1:7" ht="19.5">
      <c r="A63" s="67"/>
      <c r="B63" s="68"/>
      <c r="C63" s="57"/>
      <c r="D63" s="69"/>
      <c r="E63" s="128"/>
      <c r="F63" s="1070">
        <v>0</v>
      </c>
      <c r="G63" s="124"/>
    </row>
    <row r="64" spans="1:7" ht="19.5">
      <c r="A64" s="67"/>
      <c r="B64" s="68"/>
      <c r="C64" s="57"/>
      <c r="D64" s="69"/>
      <c r="E64" s="128"/>
      <c r="F64" s="652"/>
      <c r="G64" s="124"/>
    </row>
    <row r="65" spans="1:7" ht="19.5">
      <c r="A65" s="61">
        <f>A62+1</f>
        <v>16</v>
      </c>
      <c r="B65" s="62"/>
      <c r="C65" s="57" t="s">
        <v>111</v>
      </c>
      <c r="D65" s="62"/>
      <c r="E65" s="80">
        <f>+F66+F67+F68</f>
        <v>0</v>
      </c>
      <c r="F65" s="70"/>
      <c r="G65" s="70"/>
    </row>
    <row r="66" spans="1:7" ht="19.5">
      <c r="A66" s="61"/>
      <c r="B66" s="62"/>
      <c r="C66" s="57"/>
      <c r="D66" s="62"/>
      <c r="E66" s="80"/>
      <c r="F66" s="1070">
        <v>0</v>
      </c>
      <c r="G66" s="124"/>
    </row>
    <row r="67" spans="1:7" ht="19.5">
      <c r="A67" s="61"/>
      <c r="B67" s="62"/>
      <c r="C67" s="57"/>
      <c r="D67" s="62"/>
      <c r="E67" s="80"/>
      <c r="F67" s="652"/>
      <c r="G67" s="124"/>
    </row>
    <row r="68" spans="1:7" ht="19.5">
      <c r="A68" s="61"/>
      <c r="B68" s="62"/>
      <c r="C68" s="57"/>
      <c r="D68" s="62"/>
      <c r="E68" s="80"/>
      <c r="F68" s="652"/>
      <c r="G68" s="124"/>
    </row>
    <row r="69" spans="1:7" ht="19.5">
      <c r="A69" s="61">
        <f>+A65+1</f>
        <v>17</v>
      </c>
      <c r="B69" s="62"/>
      <c r="C69" s="57" t="s">
        <v>112</v>
      </c>
      <c r="D69"/>
      <c r="E69" s="80">
        <f>SUM(F70:F80)</f>
        <v>314225</v>
      </c>
      <c r="F69" s="70"/>
      <c r="G69" s="70"/>
    </row>
    <row r="70" spans="1:7" ht="19.5">
      <c r="A70" s="61"/>
      <c r="B70" s="62"/>
      <c r="C70" s="57"/>
      <c r="D70"/>
      <c r="E70" s="80"/>
      <c r="F70" s="1070">
        <v>314225</v>
      </c>
      <c r="G70" s="124"/>
    </row>
    <row r="71" spans="1:7" ht="19.5">
      <c r="A71" s="61"/>
      <c r="B71" s="62"/>
      <c r="C71" s="57"/>
      <c r="D71"/>
      <c r="E71" s="80"/>
      <c r="F71" s="652"/>
      <c r="G71" s="124"/>
    </row>
    <row r="72" spans="1:7" ht="19.5">
      <c r="A72" s="61"/>
      <c r="B72" s="62"/>
      <c r="C72" s="57"/>
      <c r="D72"/>
      <c r="E72" s="80"/>
      <c r="F72" s="652"/>
      <c r="G72" s="124"/>
    </row>
    <row r="73" spans="1:7" ht="19.5">
      <c r="A73" s="61"/>
      <c r="B73" s="62"/>
      <c r="C73" s="57"/>
      <c r="D73"/>
      <c r="E73" s="80"/>
      <c r="F73" s="652"/>
      <c r="G73" s="124"/>
    </row>
    <row r="74" spans="1:7" ht="19.5">
      <c r="A74" s="61"/>
      <c r="B74" s="62"/>
      <c r="C74" s="57"/>
      <c r="D74"/>
      <c r="E74" s="80"/>
      <c r="F74" s="652"/>
      <c r="G74" s="124"/>
    </row>
    <row r="75" spans="1:7" ht="19.5">
      <c r="A75" s="61"/>
      <c r="B75" s="62"/>
      <c r="C75" s="57"/>
      <c r="D75"/>
      <c r="E75" s="80"/>
      <c r="F75" s="652"/>
      <c r="G75" s="124"/>
    </row>
    <row r="76" spans="1:7" ht="19.5">
      <c r="A76" s="61"/>
      <c r="B76" s="62"/>
      <c r="C76" s="57"/>
      <c r="D76"/>
      <c r="E76" s="80"/>
      <c r="F76" s="652"/>
      <c r="G76" s="124"/>
    </row>
    <row r="77" spans="1:7" ht="19.5">
      <c r="A77" s="61"/>
      <c r="B77" s="62"/>
      <c r="C77" s="57"/>
      <c r="D77"/>
      <c r="E77" s="80"/>
      <c r="F77" s="652"/>
      <c r="G77" s="124"/>
    </row>
    <row r="78" spans="1:7" ht="19.5">
      <c r="A78" s="61"/>
      <c r="B78" s="62"/>
      <c r="C78" s="57"/>
      <c r="D78"/>
      <c r="E78" s="80"/>
      <c r="F78" s="652"/>
      <c r="G78" s="124"/>
    </row>
    <row r="79" spans="1:7" ht="19.5">
      <c r="A79" s="61"/>
      <c r="B79" s="62"/>
      <c r="C79" s="57"/>
      <c r="D79"/>
      <c r="E79" s="80"/>
      <c r="F79" s="652"/>
      <c r="G79" s="124"/>
    </row>
    <row r="80" spans="1:7" ht="19.5">
      <c r="A80" s="61"/>
      <c r="B80" s="62"/>
      <c r="C80" s="57"/>
      <c r="D80"/>
      <c r="E80" s="80"/>
      <c r="F80" s="652"/>
      <c r="G80" s="124"/>
    </row>
    <row r="81" spans="1:7" ht="19.5">
      <c r="A81" s="61">
        <f>+A69+1</f>
        <v>18</v>
      </c>
      <c r="B81" s="62"/>
      <c r="C81" s="57" t="s">
        <v>113</v>
      </c>
      <c r="D81"/>
      <c r="E81" s="80">
        <f>SUM(F82:F85)</f>
        <v>0</v>
      </c>
      <c r="F81" s="70"/>
      <c r="G81" s="70"/>
    </row>
    <row r="82" spans="1:7" ht="19.5">
      <c r="A82" s="61"/>
      <c r="B82" s="62"/>
      <c r="C82" s="57"/>
      <c r="D82"/>
      <c r="E82" s="80"/>
      <c r="F82" s="1070">
        <v>0</v>
      </c>
      <c r="G82" s="124"/>
    </row>
    <row r="83" spans="1:7" ht="19.5">
      <c r="A83" s="61"/>
      <c r="B83" s="62"/>
      <c r="C83" s="57"/>
      <c r="D83"/>
      <c r="E83" s="80"/>
      <c r="F83" s="652"/>
      <c r="G83" s="124"/>
    </row>
    <row r="84" spans="1:7" ht="19.5">
      <c r="A84" s="61"/>
      <c r="B84" s="62"/>
      <c r="C84" s="57"/>
      <c r="D84"/>
      <c r="E84" s="80"/>
      <c r="F84" s="652"/>
      <c r="G84" s="124"/>
    </row>
    <row r="85" spans="1:7" ht="19.5">
      <c r="A85" s="61"/>
      <c r="B85" s="62"/>
      <c r="C85" s="57"/>
      <c r="D85"/>
      <c r="E85" s="80"/>
      <c r="F85" s="652"/>
      <c r="G85" s="124"/>
    </row>
    <row r="86" spans="1:7" ht="19.5">
      <c r="A86" s="61">
        <f>+A81+1</f>
        <v>19</v>
      </c>
      <c r="B86" s="62"/>
      <c r="C86" s="57" t="s">
        <v>114</v>
      </c>
      <c r="D86" s="62"/>
      <c r="E86" s="80">
        <f>F87</f>
        <v>0</v>
      </c>
      <c r="F86" s="70"/>
      <c r="G86" s="70"/>
    </row>
    <row r="87" spans="1:7" ht="19.5">
      <c r="A87" s="61"/>
      <c r="B87" s="62"/>
      <c r="C87" s="57"/>
      <c r="D87" s="62"/>
      <c r="E87" s="80"/>
      <c r="F87" s="1070">
        <v>0</v>
      </c>
      <c r="G87" s="124"/>
    </row>
    <row r="88" spans="1:7" ht="19.5">
      <c r="A88" s="61"/>
      <c r="B88" s="62"/>
      <c r="C88" s="57"/>
      <c r="D88" s="62"/>
      <c r="E88" s="80"/>
      <c r="F88" s="152"/>
      <c r="G88" s="70"/>
    </row>
    <row r="89" spans="1:7" ht="19.5">
      <c r="A89" s="61">
        <f>+A86+1</f>
        <v>20</v>
      </c>
      <c r="B89" s="62"/>
      <c r="C89" s="57" t="s">
        <v>115</v>
      </c>
      <c r="D89" s="62"/>
      <c r="E89" s="80">
        <f>SUM(F90:F94)</f>
        <v>0</v>
      </c>
      <c r="F89" s="70"/>
      <c r="G89" s="124"/>
    </row>
    <row r="90" spans="1:7" ht="19.5">
      <c r="A90" s="61"/>
      <c r="B90" s="62"/>
      <c r="C90" s="57"/>
      <c r="D90" s="62"/>
      <c r="E90" s="80"/>
      <c r="F90" s="1070">
        <v>0</v>
      </c>
      <c r="G90" s="124"/>
    </row>
    <row r="91" spans="1:7" ht="19.5">
      <c r="A91" s="61"/>
      <c r="B91" s="62"/>
      <c r="C91" s="57"/>
      <c r="D91" s="62"/>
      <c r="E91" s="80"/>
      <c r="F91" s="652"/>
      <c r="G91" s="124"/>
    </row>
    <row r="92" spans="1:7" ht="19.5">
      <c r="A92" s="61"/>
      <c r="B92" s="62"/>
      <c r="C92" s="57"/>
      <c r="D92" s="62"/>
      <c r="E92" s="80"/>
      <c r="F92" s="652"/>
      <c r="G92" s="124"/>
    </row>
    <row r="93" spans="1:7" ht="19.5">
      <c r="A93" s="61"/>
      <c r="B93" s="62"/>
      <c r="C93" s="57"/>
      <c r="D93" s="62"/>
      <c r="E93" s="80"/>
      <c r="F93" s="652"/>
      <c r="G93" s="124"/>
    </row>
    <row r="94" spans="1:7" ht="19.5">
      <c r="A94" s="61"/>
      <c r="B94" s="62"/>
      <c r="C94" s="57"/>
      <c r="D94" s="62"/>
      <c r="E94" s="80"/>
      <c r="F94" s="652"/>
      <c r="G94" s="124"/>
    </row>
    <row r="95" spans="1:7" ht="19.5">
      <c r="A95" s="61">
        <f>+A89+1</f>
        <v>21</v>
      </c>
      <c r="B95" s="57"/>
      <c r="C95" s="57" t="s">
        <v>104</v>
      </c>
      <c r="D95" s="57"/>
      <c r="E95" s="80">
        <f>SUM(F96:F97)</f>
        <v>0</v>
      </c>
      <c r="F95" s="127"/>
      <c r="G95" s="124"/>
    </row>
    <row r="96" spans="1:7" ht="19.5">
      <c r="A96" s="61"/>
      <c r="B96" s="57"/>
      <c r="C96" s="57"/>
      <c r="D96" s="57"/>
      <c r="E96" s="122"/>
      <c r="F96" s="1070">
        <v>0</v>
      </c>
      <c r="G96" s="124"/>
    </row>
    <row r="97" spans="1:7" ht="19.5">
      <c r="A97" s="61"/>
      <c r="B97" s="57"/>
      <c r="C97" s="57"/>
      <c r="D97" s="57"/>
      <c r="E97" s="122"/>
      <c r="F97" s="652"/>
      <c r="G97" s="124"/>
    </row>
    <row r="98" spans="1:7" ht="19.5">
      <c r="A98" s="61">
        <f>+A95+1</f>
        <v>22</v>
      </c>
      <c r="B98" s="57"/>
      <c r="C98" s="74" t="s">
        <v>398</v>
      </c>
      <c r="D98" s="70"/>
      <c r="E98" s="128">
        <f>+F99</f>
        <v>0</v>
      </c>
      <c r="G98" s="70"/>
    </row>
    <row r="99" spans="1:7" ht="19.5">
      <c r="A99" s="61"/>
      <c r="B99" s="57"/>
      <c r="C99" s="74"/>
      <c r="D99" s="70"/>
      <c r="E99" s="129"/>
      <c r="F99" s="1070">
        <v>0</v>
      </c>
      <c r="G99" s="70"/>
    </row>
    <row r="100" spans="1:7" ht="19.5">
      <c r="A100" s="4"/>
      <c r="B100" s="115"/>
      <c r="C100" s="115"/>
      <c r="D100"/>
      <c r="E100"/>
      <c r="F100" s="127"/>
      <c r="G100" s="70"/>
    </row>
    <row r="101" spans="1:7" ht="20.25" thickBot="1">
      <c r="A101" s="112">
        <f>+A98+1</f>
        <v>23</v>
      </c>
      <c r="B101" s="115"/>
      <c r="C101" s="57" t="s">
        <v>108</v>
      </c>
      <c r="D101"/>
      <c r="E101" s="73">
        <f>SUM(E24:E99)</f>
        <v>1188224.9999999991</v>
      </c>
      <c r="F101" s="73">
        <f>SUM(F14:F99)</f>
        <v>1188224.9999999991</v>
      </c>
      <c r="G101" s="70"/>
    </row>
    <row r="102" spans="1:7" ht="20.25" thickTop="1">
      <c r="A102" s="4"/>
      <c r="B102" s="115"/>
      <c r="C102" s="57" t="s">
        <v>173</v>
      </c>
      <c r="D102"/>
      <c r="E102"/>
      <c r="F102" s="70"/>
      <c r="G102" s="70"/>
    </row>
    <row r="103" spans="1:7" ht="19.5">
      <c r="A103" s="4"/>
      <c r="B103" s="115"/>
      <c r="C103" s="57"/>
      <c r="D103"/>
      <c r="E103"/>
      <c r="F103" s="80" t="s">
        <v>406</v>
      </c>
      <c r="G103" s="70"/>
    </row>
    <row r="104" spans="1:7" ht="21.75" customHeight="1">
      <c r="A104" s="1528" t="s">
        <v>770</v>
      </c>
      <c r="B104" s="1528"/>
      <c r="C104" s="1528"/>
      <c r="D104" s="1528"/>
      <c r="E104" s="1528"/>
      <c r="F104" s="1528"/>
      <c r="G104" s="1528"/>
    </row>
    <row r="105" spans="1:7" ht="21.75" customHeight="1">
      <c r="A105" s="1528"/>
      <c r="B105" s="1528"/>
      <c r="C105" s="1528"/>
      <c r="D105" s="1528"/>
      <c r="E105" s="1528"/>
      <c r="F105" s="1528"/>
      <c r="G105" s="1528"/>
    </row>
    <row r="106" spans="1:7" ht="21.75" customHeight="1">
      <c r="A106" s="1528"/>
      <c r="B106" s="1528"/>
      <c r="C106" s="1528"/>
      <c r="D106" s="1528"/>
      <c r="E106" s="1528"/>
      <c r="F106" s="1528"/>
      <c r="G106" s="1528"/>
    </row>
    <row r="107" spans="1:7" ht="21.75" customHeight="1">
      <c r="A107" s="1528"/>
      <c r="B107" s="1528"/>
      <c r="C107" s="1528"/>
      <c r="D107" s="1528"/>
      <c r="E107" s="1528"/>
      <c r="F107" s="1528"/>
      <c r="G107" s="1528"/>
    </row>
    <row r="108" spans="1:7" ht="21.75" customHeight="1">
      <c r="A108" s="1528"/>
      <c r="B108" s="1528"/>
      <c r="C108" s="1528"/>
      <c r="D108" s="1528"/>
      <c r="E108" s="1528"/>
      <c r="F108" s="1528"/>
      <c r="G108" s="1528"/>
    </row>
    <row r="109" spans="1:7" ht="19.5">
      <c r="A109" s="1266"/>
      <c r="B109" s="79"/>
      <c r="C109" s="79"/>
      <c r="D109" s="79"/>
      <c r="E109" s="1267"/>
      <c r="F109" s="70"/>
      <c r="G109" s="70"/>
    </row>
    <row r="110" spans="1:7" ht="30" customHeight="1">
      <c r="A110" s="1526" t="s">
        <v>698</v>
      </c>
      <c r="B110" s="1526"/>
      <c r="C110" s="1526"/>
      <c r="D110" s="1526"/>
      <c r="E110" s="1526"/>
      <c r="F110" s="1526"/>
      <c r="G110" s="1526"/>
    </row>
    <row r="111" spans="1:7" ht="30" customHeight="1">
      <c r="A111" s="1526"/>
      <c r="B111" s="1526"/>
      <c r="C111" s="1526"/>
      <c r="D111" s="1526"/>
      <c r="E111" s="1526"/>
      <c r="F111" s="1526"/>
      <c r="G111" s="1526"/>
    </row>
    <row r="112" spans="1:7" ht="19.5">
      <c r="B112" s="79"/>
      <c r="F112" s="127"/>
      <c r="G112" s="70"/>
    </row>
    <row r="113" spans="2:7" ht="19.5">
      <c r="B113" s="79"/>
      <c r="F113" s="127"/>
      <c r="G113" s="70"/>
    </row>
    <row r="114" spans="2:7" ht="19.5">
      <c r="B114" s="79"/>
      <c r="F114" s="70"/>
      <c r="G114" s="122"/>
    </row>
    <row r="115" spans="2:7" ht="19.5">
      <c r="B115" s="79"/>
      <c r="F115" s="70"/>
      <c r="G115" s="122"/>
    </row>
    <row r="116" spans="2:7" ht="19.5">
      <c r="B116" s="79"/>
      <c r="F116" s="70"/>
      <c r="G116" s="122"/>
    </row>
    <row r="117" spans="2:7" ht="19.5">
      <c r="B117" s="79"/>
      <c r="F117" s="70"/>
      <c r="G117" s="122"/>
    </row>
    <row r="118" spans="2:7">
      <c r="B118" s="79"/>
    </row>
    <row r="119" spans="2:7">
      <c r="B119" s="79"/>
    </row>
    <row r="120" spans="2:7">
      <c r="B120" s="79"/>
    </row>
    <row r="121" spans="2:7">
      <c r="B121" s="79"/>
    </row>
    <row r="122" spans="2:7">
      <c r="B122" s="79"/>
    </row>
    <row r="123" spans="2:7">
      <c r="B123" s="79"/>
    </row>
  </sheetData>
  <mergeCells count="7">
    <mergeCell ref="A110:G111"/>
    <mergeCell ref="H4:M4"/>
    <mergeCell ref="A104:G108"/>
    <mergeCell ref="A3:G3"/>
    <mergeCell ref="A4:G4"/>
    <mergeCell ref="A5:G5"/>
    <mergeCell ref="A6:G6"/>
  </mergeCells>
  <phoneticPr fontId="70" type="noConversion"/>
  <pageMargins left="0.82" right="1.28" top="0.67" bottom="0.56000000000000005" header="0.75" footer="0.28000000000000003"/>
  <pageSetup scale="30" orientation="portrait" r:id="rId1"/>
  <headerFooter alignWithMargins="0">
    <oddHeader>&amp;R&amp;"Arial,Bold"Formula Rate 
&amp;A
Page &amp;P of &amp;N</oddHeader>
  </headerFooter>
  <colBreaks count="1" manualBreakCount="1">
    <brk id="5" max="111" man="1"/>
  </col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pageSetUpPr fitToPage="1"/>
  </sheetPr>
  <dimension ref="A1:M28"/>
  <sheetViews>
    <sheetView zoomScaleNormal="100" workbookViewId="0">
      <selection activeCell="A3" sqref="A3:J3"/>
    </sheetView>
  </sheetViews>
  <sheetFormatPr defaultRowHeight="12.75"/>
  <cols>
    <col min="1" max="1" width="4.7109375" customWidth="1"/>
    <col min="3" max="3" width="13.85546875" customWidth="1"/>
    <col min="4" max="4" width="18.85546875" customWidth="1"/>
    <col min="5" max="5" width="13.140625" customWidth="1"/>
    <col min="6" max="6" width="12.85546875" customWidth="1"/>
    <col min="7" max="7" width="19.42578125" customWidth="1"/>
    <col min="8" max="8" width="17.28515625" customWidth="1"/>
    <col min="9" max="9" width="18.7109375" customWidth="1"/>
    <col min="10" max="10" width="1.42578125" customWidth="1"/>
  </cols>
  <sheetData>
    <row r="1" spans="1:13" ht="15.75">
      <c r="A1" s="1005" t="s">
        <v>406</v>
      </c>
    </row>
    <row r="2" spans="1:13" ht="15.75">
      <c r="A2" s="1005" t="s">
        <v>406</v>
      </c>
    </row>
    <row r="3" spans="1:13" ht="18">
      <c r="A3" s="1532" t="str">
        <f>TCOS!$F$5</f>
        <v>AEPTCo subsidiaries in PJM</v>
      </c>
      <c r="B3" s="1532" t="str">
        <f>TCOS!$F$5</f>
        <v>AEPTCo subsidiaries in PJM</v>
      </c>
      <c r="C3" s="1532" t="str">
        <f>TCOS!$F$5</f>
        <v>AEPTCo subsidiaries in PJM</v>
      </c>
      <c r="D3" s="1532" t="str">
        <f>TCOS!$F$5</f>
        <v>AEPTCo subsidiaries in PJM</v>
      </c>
      <c r="E3" s="1532" t="str">
        <f>TCOS!$F$5</f>
        <v>AEPTCo subsidiaries in PJM</v>
      </c>
      <c r="F3" s="1532" t="str">
        <f>TCOS!$F$5</f>
        <v>AEPTCo subsidiaries in PJM</v>
      </c>
      <c r="G3" s="1532" t="str">
        <f>TCOS!$F$5</f>
        <v>AEPTCo subsidiaries in PJM</v>
      </c>
      <c r="H3" s="1532" t="str">
        <f>TCOS!$F$5</f>
        <v>AEPTCo subsidiaries in PJM</v>
      </c>
      <c r="I3" s="1532" t="str">
        <f>TCOS!$F$5</f>
        <v>AEPTCo subsidiaries in PJM</v>
      </c>
      <c r="J3" s="1532" t="str">
        <f>TCOS!$F$5</f>
        <v>AEPTCo subsidiaries in PJM</v>
      </c>
      <c r="K3" s="77"/>
      <c r="L3" s="77"/>
      <c r="M3" s="77"/>
    </row>
    <row r="4" spans="1:13" ht="18">
      <c r="A4" s="1531" t="str">
        <f>"Cost of Service Formula Rate Using Actual/Projected FF1 Balances"</f>
        <v>Cost of Service Formula Rate Using Actual/Projected FF1 Balances</v>
      </c>
      <c r="B4" s="1531"/>
      <c r="C4" s="1531"/>
      <c r="D4" s="1531"/>
      <c r="E4" s="1531"/>
      <c r="F4" s="1531"/>
      <c r="G4" s="1531"/>
      <c r="H4" s="1531"/>
      <c r="I4" s="1531"/>
      <c r="J4" s="1531"/>
      <c r="K4" s="52"/>
      <c r="L4" s="52"/>
      <c r="M4" s="52"/>
    </row>
    <row r="5" spans="1:13" ht="18">
      <c r="A5" s="1531" t="s">
        <v>587</v>
      </c>
      <c r="B5" s="1531"/>
      <c r="C5" s="1531"/>
      <c r="D5" s="1531"/>
      <c r="E5" s="1531"/>
      <c r="F5" s="1531"/>
      <c r="G5" s="1531"/>
      <c r="H5" s="1531"/>
      <c r="I5" s="1531"/>
      <c r="J5" s="1531"/>
      <c r="K5" s="78"/>
      <c r="L5" s="78"/>
      <c r="M5" s="78"/>
    </row>
    <row r="6" spans="1:13" ht="18">
      <c r="A6" s="1523" t="str">
        <f>+TCOS!F9</f>
        <v>AEP Appalachian Transmission Company</v>
      </c>
      <c r="B6" s="1523"/>
      <c r="C6" s="1523"/>
      <c r="D6" s="1523"/>
      <c r="E6" s="1523"/>
      <c r="F6" s="1523"/>
      <c r="G6" s="1523"/>
      <c r="H6" s="1523"/>
      <c r="I6" s="1523"/>
      <c r="J6" s="1523"/>
      <c r="K6" s="81"/>
      <c r="L6" s="81"/>
      <c r="M6" s="81"/>
    </row>
    <row r="7" spans="1:13">
      <c r="H7" s="82"/>
    </row>
    <row r="8" spans="1:13" ht="15.75">
      <c r="D8" s="150" t="s">
        <v>554</v>
      </c>
    </row>
    <row r="9" spans="1:13">
      <c r="H9" s="56"/>
    </row>
    <row r="13" spans="1:13">
      <c r="H13" s="83"/>
    </row>
    <row r="14" spans="1:13">
      <c r="H14" s="101"/>
    </row>
    <row r="15" spans="1:13">
      <c r="H15" s="101"/>
    </row>
    <row r="24" spans="2:7">
      <c r="B24" s="85"/>
      <c r="G24" s="86"/>
    </row>
    <row r="25" spans="2:7">
      <c r="G25" s="86"/>
    </row>
    <row r="26" spans="2:7">
      <c r="B26" s="102"/>
      <c r="G26" s="103"/>
    </row>
    <row r="27" spans="2:7">
      <c r="G27" s="86"/>
    </row>
    <row r="28" spans="2:7">
      <c r="G28" s="87"/>
    </row>
  </sheetData>
  <mergeCells count="4">
    <mergeCell ref="A4:J4"/>
    <mergeCell ref="A3:J3"/>
    <mergeCell ref="A6:J6"/>
    <mergeCell ref="A5:J5"/>
  </mergeCells>
  <phoneticPr fontId="0" type="noConversion"/>
  <pageMargins left="0.26" right="1.28" top="1" bottom="1" header="0.75" footer="0.5"/>
  <pageSetup scale="69" orientation="portrait" r:id="rId1"/>
  <headerFooter alignWithMargins="0">
    <oddHeader>&amp;R&amp;"Arial,Bold"Formula Rate 
&amp;A
Page &amp;P of &amp;N</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dimension ref="A1:Q170"/>
  <sheetViews>
    <sheetView view="pageBreakPreview" topLeftCell="A3" zoomScale="60" zoomScaleNormal="100" workbookViewId="0">
      <selection activeCell="F42" sqref="F42"/>
    </sheetView>
  </sheetViews>
  <sheetFormatPr defaultColWidth="8.85546875" defaultRowHeight="12.75"/>
  <cols>
    <col min="1" max="1" width="4.7109375" style="173" customWidth="1"/>
    <col min="2" max="2" width="6.7109375" style="392" customWidth="1"/>
    <col min="3" max="3" width="26.42578125" style="173" customWidth="1"/>
    <col min="4" max="4" width="17.7109375" style="273" customWidth="1"/>
    <col min="5" max="7" width="17.7109375" style="173" customWidth="1"/>
    <col min="8" max="8" width="17.7109375" style="487" customWidth="1"/>
    <col min="9" max="9" width="17.7109375" style="173" bestFit="1" customWidth="1"/>
    <col min="10" max="10" width="2.140625" style="156" customWidth="1"/>
    <col min="11" max="12" width="17.7109375" style="173" customWidth="1"/>
    <col min="13" max="13" width="32.42578125" style="173" customWidth="1"/>
    <col min="14" max="14" width="17.7109375" style="173" customWidth="1"/>
    <col min="15" max="15" width="16.7109375" style="173" customWidth="1"/>
    <col min="16" max="16" width="2.140625" style="173" customWidth="1"/>
    <col min="17" max="16384" width="8.85546875" style="173"/>
  </cols>
  <sheetData>
    <row r="1" spans="1:16" ht="15.75">
      <c r="A1" s="1005" t="s">
        <v>406</v>
      </c>
    </row>
    <row r="2" spans="1:16" ht="15.75">
      <c r="A2" s="1005" t="s">
        <v>406</v>
      </c>
    </row>
    <row r="3" spans="1:16" ht="15">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1481" t="str">
        <f>TCOS!$F$5</f>
        <v>AEPTCo subsidiaries in PJM</v>
      </c>
      <c r="G3" s="1481" t="str">
        <f>TCOS!$F$5</f>
        <v>AEPTCo subsidiaries in PJM</v>
      </c>
      <c r="H3" s="1481" t="str">
        <f>TCOS!$F$5</f>
        <v>AEPTCo subsidiaries in PJM</v>
      </c>
      <c r="I3" s="1481" t="str">
        <f>TCOS!$F$5</f>
        <v>AEPTCo subsidiaries in PJM</v>
      </c>
      <c r="J3" s="1481" t="str">
        <f>TCOS!$F$5</f>
        <v>AEPTCo subsidiaries in PJM</v>
      </c>
      <c r="K3" s="1481" t="str">
        <f>TCOS!$F$5</f>
        <v>AEPTCo subsidiaries in PJM</v>
      </c>
      <c r="L3" s="1481" t="str">
        <f>TCOS!$F$5</f>
        <v>AEPTCo subsidiaries in PJM</v>
      </c>
      <c r="M3" s="1481" t="str">
        <f>TCOS!$F$5</f>
        <v>AEPTCo subsidiaries in PJM</v>
      </c>
      <c r="N3" s="1481" t="str">
        <f>TCOS!$F$5</f>
        <v>AEPTCo subsidiaries in PJM</v>
      </c>
      <c r="O3" s="1481" t="str">
        <f>TCOS!$F$5</f>
        <v>AEPTCo subsidiaries in PJM</v>
      </c>
      <c r="P3" s="156"/>
    </row>
    <row r="4" spans="1:16" ht="15">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1509"/>
      <c r="N4" s="1509"/>
      <c r="O4" s="1509"/>
      <c r="P4" s="156"/>
    </row>
    <row r="5" spans="1:16" ht="15">
      <c r="A5" s="1509" t="s">
        <v>256</v>
      </c>
      <c r="B5" s="1509"/>
      <c r="C5" s="1509"/>
      <c r="D5" s="1509"/>
      <c r="E5" s="1509"/>
      <c r="F5" s="1509"/>
      <c r="G5" s="1509"/>
      <c r="H5" s="1509"/>
      <c r="I5" s="1509"/>
      <c r="J5" s="1509"/>
      <c r="K5" s="1509"/>
      <c r="L5" s="1509"/>
      <c r="M5" s="1509"/>
      <c r="N5" s="1509"/>
      <c r="O5" s="1509"/>
      <c r="P5" s="156"/>
    </row>
    <row r="6" spans="1:16" ht="15">
      <c r="A6" s="1510" t="str">
        <f>TCOS!F9</f>
        <v>AEP Appalachian Transmission Company</v>
      </c>
      <c r="B6" s="1510"/>
      <c r="C6" s="1510"/>
      <c r="D6" s="1510"/>
      <c r="E6" s="1510"/>
      <c r="F6" s="1510"/>
      <c r="G6" s="1510"/>
      <c r="H6" s="1510"/>
      <c r="I6" s="1510"/>
      <c r="J6" s="1510"/>
      <c r="K6" s="1510"/>
      <c r="L6" s="1510"/>
      <c r="M6" s="1510"/>
      <c r="N6" s="1510"/>
      <c r="O6" s="1510"/>
      <c r="P6" s="156"/>
    </row>
    <row r="7" spans="1:16">
      <c r="P7" s="156"/>
    </row>
    <row r="8" spans="1:16" ht="20.25">
      <c r="A8" s="653"/>
      <c r="C8" s="392"/>
      <c r="N8" s="654" t="str">
        <f>"Page "&amp;P8&amp;" of "</f>
        <v xml:space="preserve">Page 1 of </v>
      </c>
      <c r="O8" s="655">
        <f>COUNT(P$8:P$56653)</f>
        <v>2</v>
      </c>
      <c r="P8" s="656">
        <v>1</v>
      </c>
    </row>
    <row r="9" spans="1:16" ht="18">
      <c r="C9" s="657"/>
      <c r="P9" s="156"/>
    </row>
    <row r="10" spans="1:16">
      <c r="P10" s="156"/>
    </row>
    <row r="11" spans="1:16" ht="18">
      <c r="B11" s="658" t="s">
        <v>461</v>
      </c>
      <c r="C11" s="1536" t="str">
        <f>"Calculate Return and Income Taxes with "&amp;F17&amp;" basis point ROE increase for Projects Qualified for Regional Billing."</f>
        <v>Calculate Return and Income Taxes with 0 basis point ROE increase for Projects Qualified for Regional Billing.</v>
      </c>
      <c r="D11" s="1537"/>
      <c r="E11" s="1537"/>
      <c r="F11" s="1537"/>
      <c r="G11" s="1537"/>
      <c r="H11" s="1537"/>
      <c r="P11" s="156"/>
    </row>
    <row r="12" spans="1:16" ht="18.75" customHeight="1">
      <c r="C12" s="1537"/>
      <c r="D12" s="1537"/>
      <c r="E12" s="1537"/>
      <c r="F12" s="1537"/>
      <c r="G12" s="1537"/>
      <c r="H12" s="1537"/>
      <c r="P12" s="156"/>
    </row>
    <row r="13" spans="1:16" ht="15.75" customHeight="1">
      <c r="C13" s="659"/>
      <c r="D13" s="659"/>
      <c r="E13" s="659"/>
      <c r="F13" s="659"/>
      <c r="G13" s="659"/>
      <c r="H13" s="659"/>
      <c r="P13" s="156"/>
    </row>
    <row r="14" spans="1:16" ht="15.75">
      <c r="C14" s="660" t="str">
        <f>"A.   Determine 'R' with hypothetical "&amp;F17&amp;" basis point increase in ROE for Identified Projects"</f>
        <v>A.   Determine 'R' with hypothetical 0 basis point increase in ROE for Identified Projects</v>
      </c>
      <c r="P14" s="156"/>
    </row>
    <row r="15" spans="1:16">
      <c r="P15" s="156"/>
    </row>
    <row r="16" spans="1:16">
      <c r="C16" s="661" t="str">
        <f>"   ROE w/o incentives  (TCOS, ln "&amp;TCOS!B235&amp;")"</f>
        <v xml:space="preserve">   ROE w/o incentives  (TCOS, ln 138)</v>
      </c>
      <c r="E16" s="662"/>
      <c r="F16" s="663">
        <f>TCOS!J235</f>
        <v>0.10349999999999999</v>
      </c>
      <c r="G16" s="662"/>
      <c r="H16" s="664"/>
      <c r="I16" s="664"/>
      <c r="J16" s="665"/>
      <c r="K16" s="664"/>
      <c r="L16" s="664"/>
      <c r="M16" s="664"/>
      <c r="N16" s="664"/>
      <c r="O16" s="664"/>
      <c r="P16" s="665"/>
    </row>
    <row r="17" spans="3:16">
      <c r="C17" s="661" t="s">
        <v>43</v>
      </c>
      <c r="E17" s="662"/>
      <c r="F17" s="806">
        <v>0</v>
      </c>
      <c r="G17" s="666"/>
      <c r="H17" s="664"/>
      <c r="I17" s="664"/>
      <c r="J17" s="665"/>
    </row>
    <row r="18" spans="3:16">
      <c r="C18" s="661" t="str">
        <f>"   ROE with additional "&amp;F17&amp;" basis point incentive"</f>
        <v xml:space="preserve">   ROE with additional 0 basis point incentive</v>
      </c>
      <c r="D18" s="662"/>
      <c r="E18" s="662"/>
      <c r="F18" s="667">
        <f>IF((F16+(F17/10000)&gt;0.1274),"ERROR",F16+(F17/10000))</f>
        <v>0.10349999999999999</v>
      </c>
      <c r="G18" s="668"/>
      <c r="H18" s="664"/>
      <c r="I18" s="664"/>
      <c r="J18" s="665"/>
    </row>
    <row r="19" spans="3:16">
      <c r="C19" s="661" t="str">
        <f>"   Determine R  ( cost of long term debt, cost of preferred stock and equity percentage is from the TCOS, lns "&amp;TCOS!B233&amp;" through "&amp;TCOS!B235&amp;")"</f>
        <v xml:space="preserve">   Determine R  ( cost of long term debt, cost of preferred stock and equity percentage is from the TCOS, lns 136 through 138)</v>
      </c>
      <c r="E19" s="662"/>
      <c r="F19" s="669"/>
      <c r="G19" s="662"/>
      <c r="H19" s="664"/>
      <c r="I19" s="664"/>
      <c r="J19" s="665"/>
    </row>
    <row r="20" spans="3:16">
      <c r="C20" s="665"/>
      <c r="D20" s="670" t="s">
        <v>436</v>
      </c>
      <c r="E20" s="670" t="s">
        <v>435</v>
      </c>
      <c r="F20" s="671" t="s">
        <v>44</v>
      </c>
      <c r="G20" s="662"/>
      <c r="H20" s="664"/>
      <c r="I20" s="664"/>
      <c r="J20" s="665"/>
    </row>
    <row r="21" spans="3:16" ht="13.5" thickBot="1">
      <c r="C21" s="672" t="s">
        <v>48</v>
      </c>
      <c r="D21" s="673">
        <f>TCOS!I233</f>
        <v>0.49421038830199421</v>
      </c>
      <c r="E21" s="674">
        <f>TCOS!J233</f>
        <v>3.7275577557755776E-2</v>
      </c>
      <c r="F21" s="675">
        <f>E21*D21</f>
        <v>1.8421977658999583E-2</v>
      </c>
      <c r="G21" s="662"/>
      <c r="H21" s="664"/>
      <c r="I21" s="676"/>
      <c r="J21" s="677"/>
      <c r="K21" s="439"/>
      <c r="L21" s="439"/>
      <c r="M21" s="439"/>
      <c r="N21" s="439"/>
      <c r="O21" s="439"/>
    </row>
    <row r="22" spans="3:16">
      <c r="C22" s="672" t="s">
        <v>49</v>
      </c>
      <c r="D22" s="673">
        <f>TCOS!I234</f>
        <v>0</v>
      </c>
      <c r="E22" s="674">
        <f>TCOS!J234</f>
        <v>0</v>
      </c>
      <c r="F22" s="675">
        <f>E22*D22</f>
        <v>0</v>
      </c>
      <c r="G22" s="678"/>
      <c r="H22" s="678"/>
      <c r="I22" s="679"/>
      <c r="J22" s="680"/>
      <c r="K22" s="1539" t="s">
        <v>231</v>
      </c>
      <c r="L22" s="1540"/>
      <c r="M22" s="1540"/>
      <c r="N22" s="1540"/>
      <c r="O22" s="1541"/>
      <c r="P22" s="680"/>
    </row>
    <row r="23" spans="3:16">
      <c r="C23" s="681" t="s">
        <v>29</v>
      </c>
      <c r="D23" s="673">
        <f>TCOS!I235</f>
        <v>0.50578961169800585</v>
      </c>
      <c r="E23" s="674">
        <f>+F18</f>
        <v>0.10349999999999999</v>
      </c>
      <c r="F23" s="682">
        <f>E23*D23</f>
        <v>5.2349224810743604E-2</v>
      </c>
      <c r="G23" s="678"/>
      <c r="H23" s="678"/>
      <c r="I23" s="679"/>
      <c r="J23" s="680"/>
      <c r="K23" s="1542"/>
      <c r="L23" s="1543"/>
      <c r="M23" s="1543"/>
      <c r="N23" s="1543"/>
      <c r="O23" s="1544"/>
      <c r="P23" s="680"/>
    </row>
    <row r="24" spans="3:16">
      <c r="C24" s="661"/>
      <c r="D24" s="173"/>
      <c r="E24" s="683" t="s">
        <v>50</v>
      </c>
      <c r="F24" s="675">
        <f>SUM(F21:F23)</f>
        <v>7.0771202469743194E-2</v>
      </c>
      <c r="G24" s="678"/>
      <c r="H24" s="678"/>
      <c r="I24" s="679"/>
      <c r="J24" s="680"/>
      <c r="K24" s="684"/>
      <c r="L24" s="685"/>
      <c r="M24" s="686" t="s">
        <v>45</v>
      </c>
      <c r="N24" s="686" t="s">
        <v>46</v>
      </c>
      <c r="O24" s="687" t="s">
        <v>47</v>
      </c>
      <c r="P24" s="680"/>
    </row>
    <row r="25" spans="3:16">
      <c r="C25" s="314"/>
      <c r="D25" s="688"/>
      <c r="E25" s="688"/>
      <c r="F25" s="678"/>
      <c r="G25" s="678"/>
      <c r="H25" s="678"/>
      <c r="I25" s="678"/>
      <c r="J25" s="689"/>
      <c r="K25" s="690"/>
      <c r="L25" s="691"/>
      <c r="M25" s="691"/>
      <c r="N25" s="691"/>
      <c r="O25" s="692"/>
      <c r="P25" s="689"/>
    </row>
    <row r="26" spans="3:16" ht="16.5" thickBot="1">
      <c r="C26" s="660" t="str">
        <f>"B.   Determine Return using 'R' with hypothetical "&amp;F17&amp;" basis point ROE increase for Identified Projects."</f>
        <v>B.   Determine Return using 'R' with hypothetical 0 basis point ROE increase for Identified Projects.</v>
      </c>
      <c r="D26" s="688"/>
      <c r="E26" s="688"/>
      <c r="F26" s="693"/>
      <c r="G26" s="678"/>
      <c r="H26" s="662"/>
      <c r="I26" s="678"/>
      <c r="J26" s="689"/>
      <c r="K26" s="694" t="s">
        <v>51</v>
      </c>
      <c r="L26" s="695">
        <f>+TCOS!L4</f>
        <v>2025</v>
      </c>
      <c r="M26" s="955">
        <f>N88</f>
        <v>0</v>
      </c>
      <c r="N26" s="955">
        <f>N89</f>
        <v>0</v>
      </c>
      <c r="O26" s="696">
        <f>+N26-M26</f>
        <v>0</v>
      </c>
      <c r="P26" s="689"/>
    </row>
    <row r="27" spans="3:16">
      <c r="C27" s="665"/>
      <c r="D27" s="688"/>
      <c r="E27" s="688"/>
      <c r="F27" s="689"/>
      <c r="G27" s="689"/>
      <c r="H27" s="689"/>
      <c r="I27" s="689"/>
      <c r="J27" s="689"/>
      <c r="K27" s="697"/>
      <c r="L27" s="697"/>
      <c r="M27" s="698"/>
      <c r="N27" s="697"/>
      <c r="O27" s="697"/>
      <c r="P27" s="689"/>
    </row>
    <row r="28" spans="3:16">
      <c r="C28" s="661" t="str">
        <f>"   Rate Base  (TCOS, ln "&amp;TCOS!B112&amp;")"</f>
        <v xml:space="preserve">   Rate Base  (TCOS, ln 58)</v>
      </c>
      <c r="D28" s="662"/>
      <c r="F28" s="699">
        <f>TCOS!L112</f>
        <v>130058393.81921667</v>
      </c>
      <c r="G28" s="689"/>
      <c r="H28" s="689"/>
      <c r="I28" s="689"/>
      <c r="J28" s="689"/>
      <c r="K28" s="697"/>
      <c r="L28" s="697"/>
      <c r="M28" s="697"/>
      <c r="N28" s="697"/>
      <c r="O28" s="700"/>
      <c r="P28" s="689"/>
    </row>
    <row r="29" spans="3:16">
      <c r="C29" s="665" t="s">
        <v>276</v>
      </c>
      <c r="D29" s="701"/>
      <c r="F29" s="675">
        <f>F24</f>
        <v>7.0771202469743194E-2</v>
      </c>
      <c r="G29" s="689"/>
      <c r="H29" s="689"/>
      <c r="I29" s="689"/>
      <c r="J29" s="689"/>
      <c r="K29" s="689"/>
      <c r="L29" s="689"/>
      <c r="M29" s="689"/>
      <c r="N29" s="689"/>
      <c r="O29" s="689"/>
      <c r="P29" s="689"/>
    </row>
    <row r="30" spans="3:16">
      <c r="C30" s="702" t="s">
        <v>53</v>
      </c>
      <c r="D30" s="702"/>
      <c r="F30" s="679">
        <f>F28*F29</f>
        <v>9204388.9218693804</v>
      </c>
      <c r="G30" s="689"/>
      <c r="H30" s="689"/>
      <c r="I30" s="680"/>
      <c r="J30" s="680"/>
      <c r="K30" s="680"/>
      <c r="L30" s="680"/>
      <c r="M30" s="680"/>
      <c r="N30" s="680"/>
      <c r="O30" s="689"/>
      <c r="P30" s="680"/>
    </row>
    <row r="31" spans="3:16">
      <c r="C31" s="703"/>
      <c r="D31" s="664"/>
      <c r="E31" s="664"/>
      <c r="F31" s="689"/>
      <c r="G31" s="689"/>
      <c r="H31" s="689"/>
      <c r="I31" s="680"/>
      <c r="J31" s="680"/>
      <c r="K31" s="680"/>
      <c r="L31" s="680"/>
      <c r="M31" s="680"/>
      <c r="N31" s="680"/>
      <c r="O31" s="689"/>
      <c r="P31" s="680"/>
    </row>
    <row r="32" spans="3:16"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6"/>
      <c r="J32" s="706"/>
      <c r="K32" s="706"/>
      <c r="L32" s="706"/>
      <c r="M32" s="706"/>
      <c r="N32" s="706"/>
      <c r="O32" s="705"/>
      <c r="P32" s="706"/>
    </row>
    <row r="33" spans="2:16">
      <c r="C33" s="661"/>
      <c r="D33" s="664"/>
      <c r="E33" s="664"/>
      <c r="F33" s="689"/>
      <c r="G33" s="689"/>
      <c r="H33" s="689"/>
      <c r="I33" s="680"/>
      <c r="J33" s="680"/>
      <c r="K33" s="680"/>
      <c r="L33" s="680"/>
      <c r="M33" s="680"/>
      <c r="N33" s="680"/>
      <c r="O33" s="689"/>
      <c r="P33" s="680"/>
    </row>
    <row r="34" spans="2:16">
      <c r="C34" s="665" t="s">
        <v>54</v>
      </c>
      <c r="D34" s="683"/>
      <c r="F34" s="707">
        <f>F30</f>
        <v>9204388.9218693804</v>
      </c>
      <c r="G34" s="689"/>
      <c r="H34" s="689"/>
      <c r="I34" s="689"/>
      <c r="J34" s="689"/>
      <c r="K34" s="689"/>
      <c r="L34" s="689"/>
      <c r="M34" s="689"/>
      <c r="N34" s="689"/>
      <c r="O34" s="689"/>
      <c r="P34" s="689"/>
    </row>
    <row r="35" spans="2:16">
      <c r="C35" s="661" t="str">
        <f>"   Effective Tax Rate  (TCOS, ln "&amp;TCOS!B170&amp;")"</f>
        <v xml:space="preserve">   Effective Tax Rate  (TCOS, ln 97)</v>
      </c>
      <c r="D35" s="539"/>
      <c r="F35" s="708">
        <f>TCOS!G170</f>
        <v>0.26182745893581627</v>
      </c>
      <c r="G35" s="314"/>
      <c r="H35" s="709"/>
      <c r="I35" s="314"/>
      <c r="J35" s="426"/>
      <c r="K35" s="314"/>
      <c r="L35" s="314"/>
      <c r="M35" s="314"/>
      <c r="N35" s="314"/>
      <c r="O35" s="314"/>
      <c r="P35" s="426"/>
    </row>
    <row r="36" spans="2:16">
      <c r="C36" s="703" t="s">
        <v>55</v>
      </c>
      <c r="D36" s="539"/>
      <c r="F36" s="710">
        <f>F34*F35</f>
        <v>2409961.7624700372</v>
      </c>
      <c r="G36" s="314"/>
      <c r="H36" s="709"/>
      <c r="I36" s="314"/>
      <c r="J36" s="426"/>
      <c r="K36" s="314"/>
      <c r="L36" s="314"/>
      <c r="M36" s="314"/>
      <c r="N36" s="314"/>
      <c r="O36" s="314"/>
      <c r="P36" s="426"/>
    </row>
    <row r="37" spans="2:16" ht="15">
      <c r="C37" s="661" t="s">
        <v>97</v>
      </c>
      <c r="D37" s="326"/>
      <c r="F37" s="711">
        <f>TCOS!L178</f>
        <v>0</v>
      </c>
      <c r="G37" s="326"/>
      <c r="H37" s="326"/>
      <c r="I37" s="326"/>
      <c r="J37" s="326"/>
      <c r="K37" s="326"/>
      <c r="L37" s="326"/>
      <c r="M37" s="326"/>
      <c r="N37" s="326"/>
      <c r="O37" s="231"/>
      <c r="P37" s="326"/>
    </row>
    <row r="38" spans="2:16" ht="15">
      <c r="C38" s="661" t="s">
        <v>550</v>
      </c>
      <c r="D38" s="326"/>
      <c r="F38" s="711">
        <f>TCOS!L179</f>
        <v>1381.0452888076977</v>
      </c>
      <c r="G38" s="326"/>
      <c r="H38" s="326"/>
      <c r="I38" s="326"/>
      <c r="J38" s="326"/>
      <c r="K38" s="326"/>
      <c r="L38" s="326"/>
      <c r="M38" s="326"/>
      <c r="N38" s="326"/>
      <c r="O38" s="231"/>
      <c r="P38" s="326"/>
    </row>
    <row r="39" spans="2:16" ht="15.75" thickBot="1">
      <c r="C39" s="661" t="s">
        <v>552</v>
      </c>
      <c r="D39" s="326"/>
      <c r="F39" s="712">
        <f>TCOS!L180</f>
        <v>28523.14471547549</v>
      </c>
      <c r="G39" s="326"/>
      <c r="H39" s="326"/>
      <c r="I39" s="326"/>
      <c r="J39" s="326"/>
      <c r="K39" s="326"/>
      <c r="L39" s="326"/>
      <c r="M39" s="326"/>
      <c r="N39" s="326"/>
      <c r="O39" s="231"/>
      <c r="P39" s="326"/>
    </row>
    <row r="40" spans="2:16" ht="15">
      <c r="C40" s="703" t="s">
        <v>56</v>
      </c>
      <c r="D40" s="326"/>
      <c r="F40" s="711">
        <f>F36+F37+F38+F39</f>
        <v>2439865.9524743203</v>
      </c>
      <c r="G40" s="958"/>
      <c r="H40" s="326"/>
      <c r="I40" s="326"/>
      <c r="J40" s="326"/>
      <c r="K40" s="326"/>
      <c r="L40" s="326"/>
      <c r="M40" s="326"/>
      <c r="N40" s="326"/>
      <c r="O40" s="189"/>
      <c r="P40" s="326"/>
    </row>
    <row r="41" spans="2:16" ht="12.75" customHeight="1">
      <c r="C41" s="240"/>
      <c r="D41" s="326"/>
      <c r="E41" s="326"/>
      <c r="F41" s="326"/>
      <c r="G41" s="326"/>
      <c r="H41" s="326"/>
      <c r="I41" s="326"/>
      <c r="J41" s="326"/>
      <c r="K41" s="326"/>
      <c r="L41" s="326"/>
      <c r="M41" s="326"/>
      <c r="N41" s="326"/>
      <c r="O41" s="189"/>
      <c r="P41" s="326"/>
    </row>
    <row r="42" spans="2:16" ht="18.75">
      <c r="B42" s="658" t="s">
        <v>462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189"/>
      <c r="P42" s="326"/>
    </row>
    <row r="43" spans="2:16" ht="18.75" customHeight="1">
      <c r="C43" s="657" t="str">
        <f>"basis point ROE increase."</f>
        <v>basis point ROE increase.</v>
      </c>
      <c r="D43" s="326"/>
      <c r="E43" s="326"/>
      <c r="F43" s="326"/>
      <c r="G43" s="326"/>
      <c r="H43" s="326"/>
      <c r="I43" s="326"/>
      <c r="J43" s="326"/>
      <c r="K43" s="326"/>
      <c r="L43" s="326"/>
      <c r="M43" s="326"/>
      <c r="N43" s="326"/>
      <c r="O43" s="189"/>
      <c r="P43" s="326"/>
    </row>
    <row r="44" spans="2:16" ht="12.75" customHeight="1">
      <c r="C44" s="657"/>
      <c r="D44" s="326"/>
      <c r="E44" s="326"/>
      <c r="F44" s="326"/>
      <c r="G44" s="326"/>
      <c r="H44" s="326"/>
      <c r="I44" s="326"/>
      <c r="J44" s="326"/>
      <c r="K44" s="326"/>
      <c r="L44" s="326"/>
      <c r="M44" s="326"/>
      <c r="N44" s="326"/>
      <c r="O44" s="189"/>
      <c r="P44" s="326"/>
    </row>
    <row r="45" spans="2:16" ht="15.75">
      <c r="C45" s="660" t="s">
        <v>253</v>
      </c>
      <c r="D45" s="326"/>
      <c r="E45" s="326"/>
      <c r="F45" s="325"/>
      <c r="G45" s="326"/>
      <c r="H45" s="326"/>
      <c r="I45" s="326"/>
      <c r="J45" s="326"/>
      <c r="K45" s="326"/>
      <c r="L45" s="326"/>
      <c r="M45" s="326"/>
      <c r="N45" s="326"/>
      <c r="O45" s="189"/>
      <c r="P45" s="326"/>
    </row>
    <row r="46" spans="2:16">
      <c r="B46" s="348"/>
      <c r="C46" s="713"/>
      <c r="D46" s="714"/>
      <c r="E46" s="714"/>
      <c r="F46" s="714"/>
      <c r="G46" s="714"/>
      <c r="H46" s="714"/>
      <c r="I46" s="714"/>
      <c r="J46" s="714"/>
      <c r="K46" s="714"/>
      <c r="L46" s="714"/>
      <c r="M46" s="714"/>
      <c r="N46" s="714"/>
      <c r="O46" s="711"/>
      <c r="P46" s="714"/>
    </row>
    <row r="47" spans="2:16" ht="12.75" customHeight="1">
      <c r="B47" s="348"/>
      <c r="C47" s="661" t="str">
        <f>"   Annual Revenue Requirement  (TCOS, ln "&amp;TCOS!B13&amp;")"</f>
        <v xml:space="preserve">   Annual Revenue Requirement  (TCOS, ln 1)</v>
      </c>
      <c r="D47" s="714"/>
      <c r="E47" s="714"/>
      <c r="G47" s="711">
        <f>TCOS!L13</f>
        <v>20966885.169530723</v>
      </c>
      <c r="H47" s="959"/>
      <c r="I47" s="714"/>
      <c r="J47" s="714"/>
      <c r="K47" s="714"/>
      <c r="L47" s="714"/>
      <c r="M47" s="714"/>
      <c r="N47" s="714"/>
      <c r="O47" s="711"/>
      <c r="P47" s="714"/>
    </row>
    <row r="48" spans="2:16" ht="12.75" customHeight="1">
      <c r="B48" s="348"/>
      <c r="C48" s="713" t="str">
        <f>"   Lease Payments (TCOS, Ln "&amp;TCOS!B150&amp;")"</f>
        <v xml:space="preserve">   Lease Payments (TCOS, Ln 80)</v>
      </c>
      <c r="D48" s="714"/>
      <c r="E48" s="714"/>
      <c r="G48" s="711">
        <f>+TCOS!L150</f>
        <v>0</v>
      </c>
      <c r="H48" s="959"/>
      <c r="I48" s="714"/>
      <c r="J48" s="714"/>
      <c r="K48" s="714"/>
      <c r="L48" s="714"/>
      <c r="M48" s="714"/>
      <c r="N48" s="714"/>
      <c r="O48" s="711"/>
      <c r="P48" s="714"/>
    </row>
    <row r="49" spans="2:16">
      <c r="B49" s="348"/>
      <c r="C49" s="661" t="str">
        <f>"   Return  (TCOS, ln "&amp;TCOS!B183&amp;")"</f>
        <v xml:space="preserve">   Return  (TCOS, ln 109)</v>
      </c>
      <c r="D49" s="714"/>
      <c r="E49" s="714"/>
      <c r="G49" s="716">
        <f>TCOS!L183</f>
        <v>9204388.9218693804</v>
      </c>
      <c r="H49" s="960"/>
      <c r="I49" s="714"/>
      <c r="J49" s="717"/>
      <c r="K49" s="717"/>
      <c r="L49" s="717"/>
      <c r="M49" s="717"/>
      <c r="N49" s="717"/>
      <c r="O49" s="711"/>
      <c r="P49" s="717"/>
    </row>
    <row r="50" spans="2:16">
      <c r="B50" s="348"/>
      <c r="C50" s="661" t="str">
        <f>"   Income Taxes  (TCOS, ln "&amp;TCOS!B181&amp;")"</f>
        <v xml:space="preserve">   Income Taxes  (TCOS, ln 108)</v>
      </c>
      <c r="D50" s="714"/>
      <c r="E50" s="714"/>
      <c r="G50" s="718">
        <f>F40</f>
        <v>2439865.9524743203</v>
      </c>
      <c r="H50" s="959"/>
      <c r="I50" s="714"/>
      <c r="J50" s="719"/>
      <c r="K50" s="719"/>
      <c r="L50" s="719"/>
      <c r="M50" s="719"/>
      <c r="N50" s="719"/>
      <c r="O50" s="714"/>
      <c r="P50" s="719"/>
    </row>
    <row r="51" spans="2:16">
      <c r="B51" s="348"/>
      <c r="C51" s="726" t="s">
        <v>607</v>
      </c>
      <c r="D51" s="714"/>
      <c r="E51" s="714"/>
      <c r="G51" s="716">
        <f>G47-G49-G50-G48</f>
        <v>9322630.2951870225</v>
      </c>
      <c r="H51" s="716"/>
      <c r="I51" s="714"/>
      <c r="J51" s="720"/>
      <c r="K51" s="720"/>
      <c r="L51" s="720"/>
      <c r="M51" s="720"/>
      <c r="N51" s="720"/>
      <c r="O51" s="720"/>
      <c r="P51" s="720"/>
    </row>
    <row r="52" spans="2:16">
      <c r="B52" s="348"/>
      <c r="C52" s="713"/>
      <c r="D52" s="714"/>
      <c r="E52" s="714"/>
      <c r="F52" s="711"/>
      <c r="G52" s="721"/>
      <c r="H52" s="722"/>
      <c r="I52" s="714"/>
      <c r="J52" s="722"/>
      <c r="K52" s="722"/>
      <c r="L52" s="722"/>
      <c r="M52" s="722"/>
      <c r="N52" s="722"/>
      <c r="O52" s="722"/>
      <c r="P52" s="722"/>
    </row>
    <row r="53" spans="2:16" ht="15.75">
      <c r="B53" s="348"/>
      <c r="C53" s="660" t="str">
        <f>"B.   Determine Annual Revenue Requirement with hypothetical "&amp;F17&amp;" basis point increase in ROE."</f>
        <v>B.   Determine Annual Revenue Requirement with hypothetical 0 basis point increase in ROE.</v>
      </c>
      <c r="D53" s="723"/>
      <c r="E53" s="723"/>
      <c r="F53" s="711"/>
      <c r="G53" s="721"/>
      <c r="H53" s="722"/>
      <c r="I53" s="722"/>
      <c r="J53" s="722"/>
      <c r="K53" s="722"/>
      <c r="L53" s="722"/>
      <c r="M53" s="722"/>
      <c r="N53" s="722"/>
      <c r="O53" s="722"/>
      <c r="P53" s="722"/>
    </row>
    <row r="54" spans="2:16">
      <c r="B54" s="348"/>
      <c r="C54" s="713"/>
      <c r="D54" s="723"/>
      <c r="E54" s="723"/>
      <c r="F54" s="711"/>
      <c r="G54" s="721"/>
      <c r="H54" s="722"/>
      <c r="I54" s="722"/>
      <c r="J54" s="722"/>
      <c r="K54" s="722"/>
      <c r="L54" s="722"/>
      <c r="M54" s="722"/>
      <c r="N54" s="722"/>
      <c r="O54" s="722"/>
      <c r="P54" s="722"/>
    </row>
    <row r="55" spans="2:16">
      <c r="B55" s="348"/>
      <c r="C55" s="713" t="str">
        <f>C51</f>
        <v xml:space="preserve">   Annual Revenue Requirement, Less Return and Taxes</v>
      </c>
      <c r="D55" s="723"/>
      <c r="E55" s="723"/>
      <c r="G55" s="711">
        <f>G51</f>
        <v>9322630.2951870225</v>
      </c>
      <c r="H55" s="711"/>
      <c r="I55" s="714"/>
      <c r="J55" s="714"/>
      <c r="K55" s="714"/>
      <c r="L55" s="714"/>
      <c r="M55" s="714"/>
      <c r="N55" s="714"/>
      <c r="O55" s="724"/>
      <c r="P55" s="714"/>
    </row>
    <row r="56" spans="2:16">
      <c r="B56" s="348"/>
      <c r="C56" s="665" t="s">
        <v>94</v>
      </c>
      <c r="D56" s="725"/>
      <c r="E56" s="726"/>
      <c r="G56" s="727">
        <f>F30</f>
        <v>9204388.9218693804</v>
      </c>
      <c r="H56" s="961"/>
      <c r="I56" s="714"/>
      <c r="J56" s="726"/>
      <c r="K56" s="726"/>
      <c r="L56" s="726"/>
      <c r="M56" s="726"/>
      <c r="N56" s="726"/>
      <c r="O56" s="726"/>
      <c r="P56" s="726"/>
    </row>
    <row r="57" spans="2:16" ht="12.75" customHeight="1">
      <c r="B57" s="348"/>
      <c r="C57" s="661" t="s">
        <v>62</v>
      </c>
      <c r="D57" s="714"/>
      <c r="E57" s="714"/>
      <c r="G57" s="718">
        <f>F40</f>
        <v>2439865.9524743203</v>
      </c>
      <c r="H57" s="959"/>
      <c r="I57" s="714"/>
      <c r="J57" s="426"/>
      <c r="K57" s="314"/>
      <c r="L57" s="314"/>
      <c r="M57" s="314"/>
      <c r="N57" s="314"/>
      <c r="O57" s="314"/>
      <c r="P57" s="426"/>
    </row>
    <row r="58" spans="2:16">
      <c r="B58" s="348"/>
      <c r="C58" s="726" t="str">
        <f>"   Annual Revenue Requirement, with "&amp;F17&amp;" Basis Point ROE increase"</f>
        <v xml:space="preserve">   Annual Revenue Requirement, with 0 Basis Point ROE increase</v>
      </c>
      <c r="D58" s="539"/>
      <c r="E58" s="314"/>
      <c r="G58" s="710">
        <f>SUM(G55:G57)</f>
        <v>20966885.16953072</v>
      </c>
      <c r="H58" s="962"/>
      <c r="I58" s="714"/>
      <c r="J58" s="426"/>
      <c r="K58" s="314"/>
      <c r="L58" s="314"/>
      <c r="M58" s="314"/>
      <c r="N58" s="314"/>
      <c r="O58" s="314"/>
      <c r="P58" s="426"/>
    </row>
    <row r="59" spans="2:16">
      <c r="B59" s="348"/>
      <c r="C59" s="661" t="str">
        <f>"   Depreciation &amp; Amortization (TCOS, ln "&amp;TCOS!B154&amp;")"</f>
        <v xml:space="preserve">   Depreciation &amp; Amortization (TCOS, ln 83)</v>
      </c>
      <c r="D59" s="539"/>
      <c r="E59" s="314"/>
      <c r="G59" s="728">
        <f>TCOS!L154</f>
        <v>4049576.4822283401</v>
      </c>
      <c r="H59" s="962"/>
      <c r="I59" s="714"/>
      <c r="J59" s="426"/>
      <c r="K59" s="314"/>
      <c r="L59" s="314"/>
      <c r="M59" s="314"/>
      <c r="N59" s="314"/>
      <c r="O59" s="314"/>
      <c r="P59" s="426"/>
    </row>
    <row r="60" spans="2:16">
      <c r="B60" s="348"/>
      <c r="C60" s="726" t="str">
        <f>"   Annual Rev. Req, w/"&amp;F17&amp;" Basis Point ROE increase, less Depreciation"</f>
        <v xml:space="preserve">   Annual Rev. Req, w/0 Basis Point ROE increase, less Depreciation</v>
      </c>
      <c r="D60" s="539"/>
      <c r="E60" s="314"/>
      <c r="G60" s="710">
        <f>G58-G59</f>
        <v>16917308.687302381</v>
      </c>
      <c r="H60" s="962"/>
      <c r="I60" s="714"/>
      <c r="J60" s="426"/>
      <c r="K60" s="314"/>
      <c r="L60" s="314"/>
      <c r="M60" s="314"/>
      <c r="N60" s="314"/>
      <c r="O60" s="314"/>
      <c r="P60" s="426"/>
    </row>
    <row r="61" spans="2:16">
      <c r="B61" s="348"/>
      <c r="C61" s="314"/>
      <c r="D61" s="539"/>
      <c r="E61" s="314"/>
      <c r="F61" s="314"/>
      <c r="G61" s="314"/>
      <c r="H61" s="963"/>
      <c r="I61" s="714"/>
      <c r="J61" s="426"/>
      <c r="K61" s="314"/>
      <c r="L61" s="314"/>
      <c r="M61" s="314"/>
      <c r="N61" s="314"/>
      <c r="O61" s="314"/>
      <c r="P61" s="426"/>
    </row>
    <row r="62" spans="2:16" ht="15.75">
      <c r="B62" s="348"/>
      <c r="C62" s="660" t="str">
        <f>"C.   Determine FCR with hypothetical "&amp;F17&amp;" basis point ROE increase."</f>
        <v>C.   Determine FCR with hypothetical 0 basis point ROE increase.</v>
      </c>
      <c r="D62" s="539"/>
      <c r="E62" s="314"/>
      <c r="F62" s="314"/>
      <c r="G62" s="314"/>
      <c r="H62" s="963"/>
      <c r="I62" s="714"/>
      <c r="J62" s="426"/>
      <c r="K62" s="314"/>
      <c r="L62" s="314"/>
      <c r="M62" s="314"/>
      <c r="N62" s="314"/>
      <c r="O62" s="314"/>
      <c r="P62" s="426"/>
    </row>
    <row r="63" spans="2:16">
      <c r="B63" s="348"/>
      <c r="C63" s="314"/>
      <c r="D63" s="539"/>
      <c r="E63" s="314"/>
      <c r="F63" s="314"/>
      <c r="G63" s="314"/>
      <c r="H63" s="963"/>
      <c r="I63" s="714"/>
      <c r="J63" s="426"/>
      <c r="K63" s="314"/>
      <c r="L63" s="314"/>
      <c r="M63" s="314"/>
      <c r="N63" s="314"/>
      <c r="O63" s="314"/>
      <c r="P63" s="426"/>
    </row>
    <row r="64" spans="2:16">
      <c r="B64" s="348"/>
      <c r="C64" s="661" t="str">
        <f>"   Net Transmission Plant  (Projected TCOS, ln "&amp;TCOS!B79&amp;")"</f>
        <v xml:space="preserve">   Net Transmission Plant  (Projected TCOS, ln 33)</v>
      </c>
      <c r="D64" s="539"/>
      <c r="E64" s="314"/>
      <c r="G64" s="710">
        <f>TCOS!L79</f>
        <v>135759268.2224353</v>
      </c>
      <c r="H64" s="962"/>
      <c r="I64" s="714"/>
      <c r="J64" s="426"/>
      <c r="K64" s="314"/>
      <c r="L64" s="314"/>
      <c r="M64" s="314"/>
      <c r="N64" s="314"/>
      <c r="O64" s="314"/>
      <c r="P64" s="426"/>
    </row>
    <row r="65" spans="2:17">
      <c r="B65" s="348"/>
      <c r="C65" s="726" t="str">
        <f>"   Annual Revenue Requirement, with "&amp;F17&amp;" Basis Point ROE increase"</f>
        <v xml:space="preserve">   Annual Revenue Requirement, with 0 Basis Point ROE increase</v>
      </c>
      <c r="D65" s="539"/>
      <c r="E65" s="314"/>
      <c r="G65" s="710">
        <f>G58</f>
        <v>20966885.16953072</v>
      </c>
      <c r="H65" s="962"/>
      <c r="I65" s="714"/>
      <c r="J65" s="426"/>
      <c r="K65" s="314"/>
      <c r="L65" s="314"/>
      <c r="M65" s="314"/>
      <c r="N65" s="314"/>
      <c r="O65" s="314"/>
      <c r="P65" s="426"/>
    </row>
    <row r="66" spans="2:17">
      <c r="B66" s="348"/>
      <c r="C66" s="726" t="str">
        <f>"   FCR with "&amp;F17&amp;" Basis Point increase in ROE"</f>
        <v xml:space="preserve">   FCR with 0 Basis Point increase in ROE</v>
      </c>
      <c r="D66" s="539"/>
      <c r="E66" s="314"/>
      <c r="G66" s="708">
        <f>IF(G64=0,0,G65/G64)</f>
        <v>0.15444164839764343</v>
      </c>
      <c r="H66" s="964"/>
      <c r="I66" s="714"/>
      <c r="J66" s="426"/>
      <c r="K66" s="314"/>
      <c r="L66" s="314"/>
      <c r="M66" s="314"/>
      <c r="N66" s="314"/>
      <c r="O66" s="314"/>
      <c r="P66" s="426"/>
    </row>
    <row r="67" spans="2:17">
      <c r="B67" s="348"/>
      <c r="C67" s="209"/>
      <c r="D67" s="539"/>
      <c r="E67" s="314"/>
      <c r="G67" s="348"/>
      <c r="H67" s="954"/>
      <c r="I67" s="714"/>
      <c r="J67" s="426"/>
      <c r="K67" s="314"/>
      <c r="L67" s="314"/>
      <c r="M67" s="314"/>
      <c r="N67" s="314"/>
      <c r="O67" s="314"/>
      <c r="P67" s="426"/>
    </row>
    <row r="68" spans="2:17">
      <c r="B68" s="348"/>
      <c r="C68" s="726" t="str">
        <f>"   Annual Rev. Req, w / "&amp;F17&amp;" Basis Point ROE increase, less Dep."</f>
        <v xml:space="preserve">   Annual Rev. Req, w / 0 Basis Point ROE increase, less Dep.</v>
      </c>
      <c r="D68" s="539"/>
      <c r="E68" s="314"/>
      <c r="G68" s="710">
        <f>G60</f>
        <v>16917308.687302381</v>
      </c>
      <c r="H68" s="962"/>
      <c r="I68" s="714"/>
      <c r="J68" s="426"/>
      <c r="K68" s="314"/>
      <c r="L68" s="314"/>
      <c r="M68" s="314"/>
      <c r="N68" s="314"/>
      <c r="O68" s="314"/>
      <c r="P68" s="426"/>
    </row>
    <row r="69" spans="2:17">
      <c r="B69" s="348"/>
      <c r="C69" s="726" t="str">
        <f>"   FCR with "&amp;F17&amp;" Basis Point ROE increase, less Depreciation"</f>
        <v xml:space="preserve">   FCR with 0 Basis Point ROE increase, less Depreciation</v>
      </c>
      <c r="D69" s="539"/>
      <c r="E69" s="314"/>
      <c r="G69" s="708">
        <f>IF(G64=0,0,G68/G64)</f>
        <v>0.12461255064799076</v>
      </c>
      <c r="H69" s="964"/>
      <c r="I69" s="729"/>
      <c r="J69" s="426"/>
      <c r="K69" s="314"/>
      <c r="L69" s="314"/>
      <c r="M69" s="314"/>
      <c r="N69" s="314"/>
      <c r="O69" s="314"/>
      <c r="P69" s="426"/>
    </row>
    <row r="70" spans="2:17">
      <c r="B70" s="348"/>
      <c r="C70" s="661" t="str">
        <f>"   FCR less Depreciation  (TCOS, ln "&amp;TCOS!B31&amp;")"</f>
        <v xml:space="preserve">   FCR less Depreciation  (TCOS, ln 10)</v>
      </c>
      <c r="D70" s="539"/>
      <c r="E70" s="314"/>
      <c r="G70" s="730">
        <f>TCOS!L31</f>
        <v>0.12461255064799079</v>
      </c>
      <c r="H70" s="965"/>
      <c r="I70" s="729"/>
      <c r="J70" s="426"/>
      <c r="K70" s="314"/>
      <c r="L70" s="314"/>
      <c r="M70" s="314"/>
      <c r="N70" s="314"/>
      <c r="O70" s="314"/>
      <c r="P70" s="426"/>
    </row>
    <row r="71" spans="2:17">
      <c r="B71" s="348"/>
      <c r="C71" s="726" t="str">
        <f>"   Incremental FCR with "&amp;F17&amp;" Basis Point ROE increase, less Depreciation"</f>
        <v xml:space="preserve">   Incremental FCR with 0 Basis Point ROE increase, less Depreciation</v>
      </c>
      <c r="D71" s="539"/>
      <c r="E71" s="314"/>
      <c r="G71" s="708">
        <f>G69-G70</f>
        <v>0</v>
      </c>
      <c r="H71" s="964"/>
      <c r="I71" s="714"/>
      <c r="J71" s="426"/>
      <c r="K71" s="314"/>
      <c r="L71" s="314"/>
      <c r="M71" s="314"/>
      <c r="N71" s="314"/>
      <c r="O71" s="314"/>
      <c r="P71" s="426"/>
    </row>
    <row r="72" spans="2:17">
      <c r="B72" s="348"/>
      <c r="C72" s="726"/>
      <c r="D72" s="539"/>
      <c r="E72" s="314"/>
      <c r="F72" s="708"/>
      <c r="G72" s="314"/>
      <c r="H72" s="963"/>
      <c r="I72" s="314"/>
      <c r="J72" s="426"/>
      <c r="K72" s="314"/>
      <c r="L72" s="314"/>
      <c r="M72" s="314"/>
      <c r="N72" s="314"/>
      <c r="O72" s="314"/>
      <c r="P72" s="426"/>
    </row>
    <row r="73" spans="2:17" ht="18.75">
      <c r="B73" s="658" t="s">
        <v>463</v>
      </c>
      <c r="C73" s="657" t="s">
        <v>63</v>
      </c>
      <c r="D73" s="539"/>
      <c r="E73" s="314"/>
      <c r="F73" s="708"/>
      <c r="G73" s="314"/>
      <c r="H73" s="963"/>
      <c r="I73" s="314"/>
      <c r="J73" s="426"/>
      <c r="K73" s="314"/>
      <c r="L73" s="314"/>
      <c r="M73" s="314"/>
      <c r="N73" s="314"/>
      <c r="O73" s="314"/>
      <c r="P73" s="426"/>
    </row>
    <row r="74" spans="2:17">
      <c r="B74" s="348"/>
      <c r="C74" s="726"/>
      <c r="D74" s="539"/>
      <c r="E74" s="314"/>
      <c r="F74" s="708"/>
      <c r="G74" s="314"/>
      <c r="H74" s="963"/>
      <c r="I74" s="314"/>
      <c r="J74" s="426"/>
      <c r="K74" s="314"/>
      <c r="L74" s="314"/>
      <c r="M74" s="314"/>
      <c r="N74" s="314"/>
      <c r="O74" s="314"/>
      <c r="P74" s="426"/>
    </row>
    <row r="75" spans="2:17">
      <c r="B75" s="348"/>
      <c r="C75" s="726" t="str">
        <f>+"Average Transmission Plant Balance for "&amp;TCOS!L4&amp;" TCOS, ln "&amp;TCOS!B63</f>
        <v>Average Transmission Plant Balance for 2025 TCOS, ln 19</v>
      </c>
      <c r="D75" s="1250"/>
      <c r="E75" s="348"/>
      <c r="F75" s="348"/>
      <c r="G75" s="489">
        <f>TCOS!L63</f>
        <v>150942714.51016599</v>
      </c>
      <c r="I75" s="314"/>
      <c r="J75" s="426"/>
      <c r="K75" s="731"/>
      <c r="L75" s="314"/>
      <c r="M75" s="314"/>
      <c r="N75" s="314"/>
      <c r="O75" s="314"/>
      <c r="P75" s="426"/>
    </row>
    <row r="76" spans="2:17">
      <c r="B76" s="348"/>
      <c r="C76" s="726" t="str">
        <f>"Annual Depreciation and Amortization Expense (TCOS, ln "&amp;TCOS!B154&amp;")"</f>
        <v>Annual Depreciation and Amortization Expense (TCOS, ln 83)</v>
      </c>
      <c r="D76" s="539"/>
      <c r="E76" s="314"/>
      <c r="G76" s="489">
        <f>TCOS!L154</f>
        <v>4049576.4822283401</v>
      </c>
      <c r="H76" s="709"/>
      <c r="I76" s="314"/>
      <c r="J76" s="426"/>
      <c r="K76" s="314"/>
      <c r="L76" s="314"/>
      <c r="M76" s="314"/>
      <c r="N76" s="314"/>
      <c r="O76" s="314"/>
      <c r="P76" s="426"/>
    </row>
    <row r="77" spans="2:17" ht="12.75" customHeight="1">
      <c r="B77" s="348"/>
      <c r="C77" s="726" t="s">
        <v>64</v>
      </c>
      <c r="D77" s="539"/>
      <c r="E77" s="314"/>
      <c r="G77" s="903">
        <f>G76/G75</f>
        <v>2.6828565362494533E-2</v>
      </c>
      <c r="H77" s="732"/>
      <c r="I77" s="153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J77" s="1538"/>
      <c r="K77" s="1538"/>
      <c r="L77" s="1538"/>
      <c r="M77" s="1538"/>
      <c r="N77" s="1538"/>
      <c r="O77" s="1538"/>
      <c r="P77" s="659"/>
      <c r="Q77" s="659"/>
    </row>
    <row r="78" spans="2:17">
      <c r="B78" s="348"/>
      <c r="C78" s="726" t="s">
        <v>65</v>
      </c>
      <c r="D78" s="539"/>
      <c r="E78" s="314"/>
      <c r="G78" s="733">
        <f>IF(G77=0,0,1/G77)</f>
        <v>37.273703848434913</v>
      </c>
      <c r="H78" s="709"/>
      <c r="I78" s="1538"/>
      <c r="J78" s="1538"/>
      <c r="K78" s="1538"/>
      <c r="L78" s="1538"/>
      <c r="M78" s="1538"/>
      <c r="N78" s="1538"/>
      <c r="O78" s="1538"/>
      <c r="P78" s="659"/>
      <c r="Q78" s="659"/>
    </row>
    <row r="79" spans="2:17">
      <c r="B79" s="348"/>
      <c r="C79" s="726" t="s">
        <v>588</v>
      </c>
      <c r="D79" s="539"/>
      <c r="E79" s="314"/>
      <c r="G79" s="734">
        <f>ROUND(G78,0)</f>
        <v>37</v>
      </c>
      <c r="H79" s="709"/>
      <c r="I79" s="1538"/>
      <c r="J79" s="1538"/>
      <c r="K79" s="1538"/>
      <c r="L79" s="1538"/>
      <c r="M79" s="1538"/>
      <c r="N79" s="1538"/>
      <c r="O79" s="1538"/>
      <c r="P79" s="659"/>
      <c r="Q79" s="659"/>
    </row>
    <row r="80" spans="2:17">
      <c r="B80" s="348"/>
      <c r="C80" s="726"/>
      <c r="D80" s="539"/>
      <c r="E80" s="314"/>
      <c r="G80" s="735"/>
      <c r="H80" s="709"/>
      <c r="I80" s="1538"/>
      <c r="J80" s="1538"/>
      <c r="K80" s="1538"/>
      <c r="L80" s="1538"/>
      <c r="M80" s="1538"/>
      <c r="N80" s="1538"/>
      <c r="O80" s="1538"/>
    </row>
    <row r="81" spans="1:16">
      <c r="C81" s="736"/>
      <c r="D81" s="737"/>
      <c r="E81" s="737"/>
      <c r="F81" s="737"/>
      <c r="G81" s="731"/>
      <c r="H81" s="731"/>
    </row>
    <row r="82" spans="1:16" ht="20.25">
      <c r="A82" s="738" t="str">
        <f>""&amp;A6&amp;" Worksheet J -  ATRR PROJECTED Calculation for PJM Projects Charged to Benefiting Zones"</f>
        <v>AEP Appalachian Transmission Company Worksheet J -  ATRR PROJECTED Calculation for PJM Projects Charged to Benefiting Zones</v>
      </c>
      <c r="B82" s="348"/>
      <c r="C82" s="726"/>
      <c r="D82" s="539"/>
      <c r="E82" s="314"/>
      <c r="F82" s="708"/>
      <c r="G82" s="314"/>
      <c r="H82" s="709"/>
      <c r="K82" s="565"/>
      <c r="L82" s="565"/>
      <c r="M82" s="565"/>
      <c r="N82" s="654" t="str">
        <f>"Page "&amp;SUM(P$8:P82)&amp;" of "</f>
        <v xml:space="preserve">Page 2 of </v>
      </c>
      <c r="O82" s="655">
        <f>COUNT(P$8:P$56653)</f>
        <v>2</v>
      </c>
      <c r="P82" s="739">
        <v>1</v>
      </c>
    </row>
    <row r="83" spans="1:16">
      <c r="B83" s="348"/>
      <c r="C83" s="314"/>
      <c r="D83" s="539"/>
      <c r="E83" s="314"/>
      <c r="F83" s="314"/>
      <c r="G83" s="314"/>
      <c r="H83" s="709"/>
      <c r="I83" s="314"/>
      <c r="J83" s="426"/>
      <c r="K83" s="314"/>
      <c r="L83" s="314"/>
      <c r="M83" s="314"/>
      <c r="N83" s="314"/>
      <c r="O83" s="314"/>
      <c r="P83" s="426"/>
    </row>
    <row r="84" spans="1:16" ht="18">
      <c r="B84" s="658" t="s">
        <v>464</v>
      </c>
      <c r="C84" s="740" t="s">
        <v>85</v>
      </c>
      <c r="D84" s="539"/>
      <c r="E84" s="314"/>
      <c r="F84" s="314"/>
      <c r="G84" s="314"/>
      <c r="H84" s="709"/>
      <c r="I84" s="709"/>
      <c r="J84" s="731"/>
      <c r="K84" s="709"/>
      <c r="L84" s="709"/>
      <c r="M84" s="709"/>
      <c r="N84" s="709"/>
      <c r="O84" s="314"/>
    </row>
    <row r="85" spans="1:16" ht="18.75">
      <c r="B85" s="658"/>
      <c r="C85" s="657"/>
      <c r="D85" s="539"/>
      <c r="E85" s="314"/>
      <c r="F85" s="314"/>
      <c r="G85" s="314"/>
      <c r="H85" s="709"/>
      <c r="I85" s="709"/>
      <c r="J85" s="731"/>
      <c r="K85" s="709"/>
      <c r="L85" s="709"/>
      <c r="M85" s="709"/>
      <c r="N85" s="709"/>
      <c r="O85" s="314"/>
    </row>
    <row r="86" spans="1:16" ht="18.75">
      <c r="B86" s="658"/>
      <c r="C86" s="657" t="s">
        <v>86</v>
      </c>
      <c r="D86" s="539"/>
      <c r="E86" s="314"/>
      <c r="F86" s="314"/>
      <c r="G86" s="314"/>
      <c r="H86" s="709"/>
      <c r="I86" s="709"/>
      <c r="J86" s="731"/>
      <c r="K86" s="709"/>
      <c r="L86" s="709"/>
      <c r="M86" s="709"/>
      <c r="N86" s="709"/>
      <c r="O86" s="314"/>
    </row>
    <row r="87" spans="1:16" ht="15.75" thickBot="1">
      <c r="C87" s="240"/>
      <c r="D87" s="539"/>
      <c r="E87" s="314"/>
      <c r="F87" s="314"/>
      <c r="G87" s="314"/>
      <c r="H87" s="709"/>
      <c r="I87" s="709"/>
      <c r="J87" s="731"/>
      <c r="K87" s="709"/>
      <c r="L87" s="709"/>
      <c r="M87" s="709"/>
      <c r="N87" s="709"/>
      <c r="O87" s="314"/>
    </row>
    <row r="88" spans="1:16" ht="15.75">
      <c r="C88" s="660" t="s">
        <v>87</v>
      </c>
      <c r="D88" s="539"/>
      <c r="E88" s="314"/>
      <c r="F88" s="314"/>
      <c r="G88" s="807"/>
      <c r="H88" s="314" t="s">
        <v>66</v>
      </c>
      <c r="I88" s="314"/>
      <c r="J88" s="426"/>
      <c r="K88" s="741" t="s">
        <v>91</v>
      </c>
      <c r="L88" s="742"/>
      <c r="M88" s="743"/>
      <c r="N88" s="744">
        <v>0</v>
      </c>
      <c r="O88" s="314"/>
    </row>
    <row r="89" spans="1:16" ht="15.75">
      <c r="C89" s="660"/>
      <c r="D89" s="539"/>
      <c r="E89" s="314"/>
      <c r="F89" s="314"/>
      <c r="G89" s="314"/>
      <c r="H89" s="745"/>
      <c r="I89" s="745"/>
      <c r="J89" s="746"/>
      <c r="K89" s="747" t="s">
        <v>92</v>
      </c>
      <c r="L89" s="748"/>
      <c r="M89" s="426"/>
      <c r="N89" s="749">
        <v>0</v>
      </c>
      <c r="O89" s="314"/>
    </row>
    <row r="90" spans="1:16" ht="13.5" thickBot="1">
      <c r="C90" s="750" t="s">
        <v>88</v>
      </c>
      <c r="D90" s="1533"/>
      <c r="E90" s="1533"/>
      <c r="F90" s="1533"/>
      <c r="G90" s="1533"/>
      <c r="H90" s="1533"/>
      <c r="I90" s="1533"/>
      <c r="J90" s="731"/>
      <c r="K90" s="751" t="s">
        <v>230</v>
      </c>
      <c r="L90" s="752"/>
      <c r="M90" s="752"/>
      <c r="N90" s="753">
        <f>+N89-N88</f>
        <v>0</v>
      </c>
      <c r="O90" s="314"/>
    </row>
    <row r="91" spans="1:16">
      <c r="C91" s="754"/>
      <c r="D91" s="755"/>
      <c r="E91" s="735"/>
      <c r="F91" s="735"/>
      <c r="G91" s="756"/>
      <c r="H91" s="709"/>
      <c r="I91" s="709"/>
      <c r="J91" s="731"/>
      <c r="K91" s="709"/>
      <c r="L91" s="709"/>
      <c r="M91" s="709"/>
      <c r="N91" s="709"/>
      <c r="O91" s="314"/>
    </row>
    <row r="92" spans="1:16" ht="13.5" thickBot="1">
      <c r="C92" s="757"/>
      <c r="D92" s="758"/>
      <c r="E92" s="756"/>
      <c r="F92" s="756"/>
      <c r="G92" s="756"/>
      <c r="H92" s="756"/>
      <c r="I92" s="756"/>
      <c r="J92" s="759"/>
      <c r="K92" s="756"/>
      <c r="L92" s="756"/>
      <c r="M92" s="756"/>
      <c r="N92" s="756"/>
      <c r="O92" s="348"/>
    </row>
    <row r="93" spans="1:16" ht="13.5" thickBot="1">
      <c r="C93" s="760" t="s">
        <v>89</v>
      </c>
      <c r="D93" s="761"/>
      <c r="E93" s="761"/>
      <c r="F93" s="761"/>
      <c r="G93" s="761"/>
      <c r="H93" s="761"/>
      <c r="I93" s="762"/>
      <c r="J93" s="763"/>
      <c r="K93" s="314"/>
      <c r="L93" s="314"/>
      <c r="M93" s="314"/>
      <c r="N93" s="314"/>
      <c r="O93" s="764"/>
    </row>
    <row r="94" spans="1:16" ht="15">
      <c r="C94" s="765" t="s">
        <v>67</v>
      </c>
      <c r="D94" s="809"/>
      <c r="E94" s="726" t="s">
        <v>68</v>
      </c>
      <c r="G94" s="766"/>
      <c r="H94" s="766"/>
      <c r="I94" s="767">
        <v>2017</v>
      </c>
      <c r="J94" s="555"/>
      <c r="K94" s="1535" t="s">
        <v>239</v>
      </c>
      <c r="L94" s="1535"/>
      <c r="M94" s="1535"/>
      <c r="N94" s="1535"/>
      <c r="O94" s="1535"/>
    </row>
    <row r="95" spans="1:16">
      <c r="C95" s="765" t="s">
        <v>70</v>
      </c>
      <c r="D95" s="810"/>
      <c r="E95" s="765" t="s">
        <v>71</v>
      </c>
      <c r="F95" s="766"/>
      <c r="H95" s="173"/>
      <c r="I95" s="811">
        <f>IF(G88="",0,$F$17)</f>
        <v>0</v>
      </c>
      <c r="J95" s="768"/>
      <c r="K95" s="731" t="s">
        <v>239</v>
      </c>
    </row>
    <row r="96" spans="1:16">
      <c r="C96" s="765" t="s">
        <v>72</v>
      </c>
      <c r="D96" s="809"/>
      <c r="E96" s="765" t="s">
        <v>73</v>
      </c>
      <c r="F96" s="766"/>
      <c r="H96" s="173"/>
      <c r="I96" s="769">
        <f>$G$70</f>
        <v>0.12461255064799079</v>
      </c>
      <c r="J96" s="770"/>
      <c r="K96" s="173" t="str">
        <f>"          INPUT PROJECTED ARR (WITH &amp; WITHOUT INCENTIVES) FROM EACH PRIOR YEAR"</f>
        <v xml:space="preserve">          INPUT PROJECTED ARR (WITH &amp; WITHOUT INCENTIVES) FROM EACH PRIOR YEAR</v>
      </c>
    </row>
    <row r="97" spans="2:15">
      <c r="C97" s="765" t="s">
        <v>74</v>
      </c>
      <c r="D97" s="771">
        <f>$G$79</f>
        <v>37</v>
      </c>
      <c r="E97" s="765" t="s">
        <v>75</v>
      </c>
      <c r="F97" s="766"/>
      <c r="H97" s="173"/>
      <c r="I97" s="769">
        <f>IF(G88="",I96,$G$69)</f>
        <v>0.12461255064799079</v>
      </c>
      <c r="J97" s="772"/>
      <c r="K97" s="173" t="s">
        <v>152</v>
      </c>
    </row>
    <row r="98" spans="2:15" ht="13.5" thickBot="1">
      <c r="C98" s="765" t="s">
        <v>76</v>
      </c>
      <c r="D98" s="808"/>
      <c r="E98" s="773" t="s">
        <v>77</v>
      </c>
      <c r="F98" s="774"/>
      <c r="G98" s="775"/>
      <c r="H98" s="775"/>
      <c r="I98" s="753">
        <f>IF(D94=0,0,D94/D97)</f>
        <v>0</v>
      </c>
      <c r="J98" s="731"/>
      <c r="K98" s="731" t="s">
        <v>158</v>
      </c>
      <c r="L98" s="731"/>
      <c r="M98" s="731"/>
      <c r="N98" s="731"/>
      <c r="O98" s="426"/>
    </row>
    <row r="99" spans="2:15" ht="51">
      <c r="B99" s="846"/>
      <c r="C99" s="776" t="s">
        <v>67</v>
      </c>
      <c r="D99" s="777" t="s">
        <v>78</v>
      </c>
      <c r="E99" s="778" t="s">
        <v>79</v>
      </c>
      <c r="F99" s="777" t="s">
        <v>80</v>
      </c>
      <c r="G99" s="778" t="s">
        <v>151</v>
      </c>
      <c r="H99" s="779" t="s">
        <v>151</v>
      </c>
      <c r="I99" s="776" t="s">
        <v>90</v>
      </c>
      <c r="J99" s="780"/>
      <c r="K99" s="778" t="s">
        <v>160</v>
      </c>
      <c r="L99" s="781"/>
      <c r="M99" s="778" t="s">
        <v>160</v>
      </c>
      <c r="N99" s="781"/>
      <c r="O99" s="781"/>
    </row>
    <row r="100" spans="2:15" ht="13.5" thickBot="1">
      <c r="C100" s="782" t="s">
        <v>467</v>
      </c>
      <c r="D100" s="783" t="s">
        <v>468</v>
      </c>
      <c r="E100" s="782" t="s">
        <v>361</v>
      </c>
      <c r="F100" s="783" t="s">
        <v>468</v>
      </c>
      <c r="G100" s="784" t="s">
        <v>93</v>
      </c>
      <c r="H100" s="785" t="s">
        <v>95</v>
      </c>
      <c r="I100" s="786" t="s">
        <v>15</v>
      </c>
      <c r="J100" s="787"/>
      <c r="K100" s="784" t="s">
        <v>82</v>
      </c>
      <c r="L100" s="788"/>
      <c r="M100" s="784" t="s">
        <v>95</v>
      </c>
      <c r="N100" s="788"/>
      <c r="O100" s="788"/>
    </row>
    <row r="101" spans="2:15">
      <c r="C101" s="789" t="str">
        <f>IF(D95= "","-",D95)</f>
        <v>-</v>
      </c>
      <c r="D101" s="737">
        <f>+D94</f>
        <v>0</v>
      </c>
      <c r="E101" s="790">
        <f>+I98/12*(12-D96)</f>
        <v>0</v>
      </c>
      <c r="F101" s="737">
        <f>+D101-E101</f>
        <v>0</v>
      </c>
      <c r="G101" s="998">
        <f>+$I$96*((D101+F101)/2)+E101</f>
        <v>0</v>
      </c>
      <c r="H101" s="999">
        <f>$I$97*((D101+F101)/2)+E101</f>
        <v>0</v>
      </c>
      <c r="I101" s="793">
        <f>+H101-G101</f>
        <v>0</v>
      </c>
      <c r="J101" s="793"/>
      <c r="K101" s="812"/>
      <c r="L101" s="794"/>
      <c r="M101" s="812"/>
      <c r="N101" s="794"/>
      <c r="O101" s="794"/>
    </row>
    <row r="102" spans="2:15">
      <c r="C102" s="789" t="str">
        <f>IF(D95="","-",+C101+1)</f>
        <v>-</v>
      </c>
      <c r="D102" s="737">
        <f t="shared" ref="D102:D160" si="0">F101</f>
        <v>0</v>
      </c>
      <c r="E102" s="790">
        <f>IF(D102&gt;$I$98,$I$98,D102)</f>
        <v>0</v>
      </c>
      <c r="F102" s="737">
        <f t="shared" ref="F102:F160" si="1">+D102-E102</f>
        <v>0</v>
      </c>
      <c r="G102" s="795">
        <f t="shared" ref="G102:G160" si="2">+$I$96*((D102+F102)/2)+E102</f>
        <v>0</v>
      </c>
      <c r="H102" s="796">
        <f t="shared" ref="H102:H160" si="3">$I$97*((D102+F102)/2)+E102</f>
        <v>0</v>
      </c>
      <c r="I102" s="793">
        <f t="shared" ref="I102:I160" si="4">+H102-G102</f>
        <v>0</v>
      </c>
      <c r="J102" s="793"/>
      <c r="K102" s="813"/>
      <c r="L102" s="797"/>
      <c r="M102" s="813"/>
      <c r="N102" s="797"/>
      <c r="O102" s="797"/>
    </row>
    <row r="103" spans="2:15">
      <c r="C103" s="789" t="str">
        <f>IF(D95="","-",+C102+1)</f>
        <v>-</v>
      </c>
      <c r="D103" s="737">
        <f t="shared" si="0"/>
        <v>0</v>
      </c>
      <c r="E103" s="790">
        <f t="shared" ref="E103:E160" si="5">IF(D103&gt;$I$98,$I$98,D103)</f>
        <v>0</v>
      </c>
      <c r="F103" s="737">
        <f t="shared" si="1"/>
        <v>0</v>
      </c>
      <c r="G103" s="795">
        <f t="shared" si="2"/>
        <v>0</v>
      </c>
      <c r="H103" s="796">
        <f t="shared" si="3"/>
        <v>0</v>
      </c>
      <c r="I103" s="793">
        <f t="shared" si="4"/>
        <v>0</v>
      </c>
      <c r="J103" s="793"/>
      <c r="K103" s="813"/>
      <c r="L103" s="797"/>
      <c r="M103" s="813"/>
      <c r="N103" s="797"/>
      <c r="O103" s="797"/>
    </row>
    <row r="104" spans="2:15">
      <c r="C104" s="789" t="str">
        <f>IF(D95="","-",+C103+1)</f>
        <v>-</v>
      </c>
      <c r="D104" s="737">
        <f t="shared" si="0"/>
        <v>0</v>
      </c>
      <c r="E104" s="790">
        <f t="shared" si="5"/>
        <v>0</v>
      </c>
      <c r="F104" s="737">
        <f t="shared" si="1"/>
        <v>0</v>
      </c>
      <c r="G104" s="795">
        <f t="shared" si="2"/>
        <v>0</v>
      </c>
      <c r="H104" s="796">
        <f t="shared" si="3"/>
        <v>0</v>
      </c>
      <c r="I104" s="793">
        <f t="shared" si="4"/>
        <v>0</v>
      </c>
      <c r="J104" s="793"/>
      <c r="K104" s="813"/>
      <c r="L104" s="797"/>
      <c r="M104" s="813"/>
      <c r="N104" s="797"/>
      <c r="O104" s="797"/>
    </row>
    <row r="105" spans="2:15">
      <c r="C105" s="789" t="str">
        <f>IF(D95="","-",+C104+1)</f>
        <v>-</v>
      </c>
      <c r="D105" s="737">
        <f t="shared" si="0"/>
        <v>0</v>
      </c>
      <c r="E105" s="790">
        <f t="shared" si="5"/>
        <v>0</v>
      </c>
      <c r="F105" s="737">
        <f t="shared" si="1"/>
        <v>0</v>
      </c>
      <c r="G105" s="795">
        <f t="shared" si="2"/>
        <v>0</v>
      </c>
      <c r="H105" s="796">
        <f t="shared" si="3"/>
        <v>0</v>
      </c>
      <c r="I105" s="793">
        <f t="shared" si="4"/>
        <v>0</v>
      </c>
      <c r="J105" s="793"/>
      <c r="K105" s="813"/>
      <c r="L105" s="797"/>
      <c r="M105" s="813"/>
      <c r="N105" s="797"/>
      <c r="O105" s="797"/>
    </row>
    <row r="106" spans="2:15">
      <c r="C106" s="789" t="str">
        <f>IF(D95="","-",+C105+1)</f>
        <v>-</v>
      </c>
      <c r="D106" s="737">
        <f t="shared" si="0"/>
        <v>0</v>
      </c>
      <c r="E106" s="790">
        <f t="shared" si="5"/>
        <v>0</v>
      </c>
      <c r="F106" s="737">
        <f t="shared" si="1"/>
        <v>0</v>
      </c>
      <c r="G106" s="795">
        <f t="shared" si="2"/>
        <v>0</v>
      </c>
      <c r="H106" s="796">
        <f t="shared" si="3"/>
        <v>0</v>
      </c>
      <c r="I106" s="793">
        <f t="shared" si="4"/>
        <v>0</v>
      </c>
      <c r="J106" s="793"/>
      <c r="K106" s="813"/>
      <c r="L106" s="797"/>
      <c r="M106" s="813"/>
      <c r="N106" s="797"/>
      <c r="O106" s="797"/>
    </row>
    <row r="107" spans="2:15">
      <c r="C107" s="789" t="str">
        <f>IF(D95="","-",+C106+1)</f>
        <v>-</v>
      </c>
      <c r="D107" s="737">
        <f t="shared" si="0"/>
        <v>0</v>
      </c>
      <c r="E107" s="790">
        <f t="shared" si="5"/>
        <v>0</v>
      </c>
      <c r="F107" s="737">
        <f t="shared" si="1"/>
        <v>0</v>
      </c>
      <c r="G107" s="795">
        <f t="shared" si="2"/>
        <v>0</v>
      </c>
      <c r="H107" s="796">
        <f t="shared" si="3"/>
        <v>0</v>
      </c>
      <c r="I107" s="793">
        <f t="shared" si="4"/>
        <v>0</v>
      </c>
      <c r="J107" s="793"/>
      <c r="K107" s="813"/>
      <c r="L107" s="797"/>
      <c r="M107" s="813"/>
      <c r="N107" s="797"/>
      <c r="O107" s="797"/>
    </row>
    <row r="108" spans="2:15">
      <c r="C108" s="789" t="str">
        <f>IF(D95="","-",+C107+1)</f>
        <v>-</v>
      </c>
      <c r="D108" s="737">
        <f t="shared" si="0"/>
        <v>0</v>
      </c>
      <c r="E108" s="790">
        <f t="shared" si="5"/>
        <v>0</v>
      </c>
      <c r="F108" s="737">
        <f t="shared" si="1"/>
        <v>0</v>
      </c>
      <c r="G108" s="795">
        <f t="shared" si="2"/>
        <v>0</v>
      </c>
      <c r="H108" s="796">
        <f t="shared" si="3"/>
        <v>0</v>
      </c>
      <c r="I108" s="793">
        <f t="shared" si="4"/>
        <v>0</v>
      </c>
      <c r="J108" s="793"/>
      <c r="K108" s="813"/>
      <c r="L108" s="797"/>
      <c r="M108" s="813"/>
      <c r="N108" s="797"/>
      <c r="O108" s="797"/>
    </row>
    <row r="109" spans="2:15">
      <c r="C109" s="789" t="str">
        <f>IF(D95="","-",+C108+1)</f>
        <v>-</v>
      </c>
      <c r="D109" s="737">
        <f t="shared" si="0"/>
        <v>0</v>
      </c>
      <c r="E109" s="790">
        <f t="shared" si="5"/>
        <v>0</v>
      </c>
      <c r="F109" s="737">
        <f t="shared" si="1"/>
        <v>0</v>
      </c>
      <c r="G109" s="795">
        <f t="shared" si="2"/>
        <v>0</v>
      </c>
      <c r="H109" s="796">
        <f t="shared" si="3"/>
        <v>0</v>
      </c>
      <c r="I109" s="793">
        <f t="shared" si="4"/>
        <v>0</v>
      </c>
      <c r="J109" s="793"/>
      <c r="K109" s="813"/>
      <c r="L109" s="797"/>
      <c r="M109" s="813"/>
      <c r="N109" s="797"/>
      <c r="O109" s="797"/>
    </row>
    <row r="110" spans="2:15">
      <c r="C110" s="789" t="str">
        <f>IF(D95="","-",+C109+1)</f>
        <v>-</v>
      </c>
      <c r="D110" s="737">
        <f t="shared" si="0"/>
        <v>0</v>
      </c>
      <c r="E110" s="790">
        <f t="shared" si="5"/>
        <v>0</v>
      </c>
      <c r="F110" s="737">
        <f t="shared" si="1"/>
        <v>0</v>
      </c>
      <c r="G110" s="795">
        <f t="shared" si="2"/>
        <v>0</v>
      </c>
      <c r="H110" s="796">
        <f t="shared" si="3"/>
        <v>0</v>
      </c>
      <c r="I110" s="793">
        <f t="shared" si="4"/>
        <v>0</v>
      </c>
      <c r="J110" s="793"/>
      <c r="K110" s="813"/>
      <c r="L110" s="797"/>
      <c r="M110" s="813"/>
      <c r="N110" s="797"/>
      <c r="O110" s="797"/>
    </row>
    <row r="111" spans="2:15">
      <c r="C111" s="789" t="str">
        <f>IF(D95="","-",+C110+1)</f>
        <v>-</v>
      </c>
      <c r="D111" s="737">
        <f t="shared" si="0"/>
        <v>0</v>
      </c>
      <c r="E111" s="790">
        <f t="shared" si="5"/>
        <v>0</v>
      </c>
      <c r="F111" s="737">
        <f t="shared" si="1"/>
        <v>0</v>
      </c>
      <c r="G111" s="795">
        <f t="shared" si="2"/>
        <v>0</v>
      </c>
      <c r="H111" s="796">
        <f t="shared" si="3"/>
        <v>0</v>
      </c>
      <c r="I111" s="793">
        <f t="shared" si="4"/>
        <v>0</v>
      </c>
      <c r="J111" s="793"/>
      <c r="K111" s="813"/>
      <c r="L111" s="797"/>
      <c r="M111" s="813"/>
      <c r="N111" s="797"/>
      <c r="O111" s="797"/>
    </row>
    <row r="112" spans="2:15">
      <c r="C112" s="789" t="str">
        <f>IF(D95="","-",+C111+1)</f>
        <v>-</v>
      </c>
      <c r="D112" s="737">
        <f t="shared" si="0"/>
        <v>0</v>
      </c>
      <c r="E112" s="790">
        <f t="shared" si="5"/>
        <v>0</v>
      </c>
      <c r="F112" s="737">
        <f t="shared" si="1"/>
        <v>0</v>
      </c>
      <c r="G112" s="795">
        <f t="shared" si="2"/>
        <v>0</v>
      </c>
      <c r="H112" s="796">
        <f t="shared" si="3"/>
        <v>0</v>
      </c>
      <c r="I112" s="793">
        <f t="shared" si="4"/>
        <v>0</v>
      </c>
      <c r="J112" s="793"/>
      <c r="K112" s="813"/>
      <c r="L112" s="797"/>
      <c r="M112" s="813"/>
      <c r="N112" s="797"/>
      <c r="O112" s="797"/>
    </row>
    <row r="113" spans="3:15">
      <c r="C113" s="789" t="str">
        <f>IF(D95="","-",+C112+1)</f>
        <v>-</v>
      </c>
      <c r="D113" s="737">
        <f t="shared" si="0"/>
        <v>0</v>
      </c>
      <c r="E113" s="790">
        <f t="shared" si="5"/>
        <v>0</v>
      </c>
      <c r="F113" s="737">
        <f t="shared" si="1"/>
        <v>0</v>
      </c>
      <c r="G113" s="795">
        <f t="shared" si="2"/>
        <v>0</v>
      </c>
      <c r="H113" s="796">
        <f t="shared" si="3"/>
        <v>0</v>
      </c>
      <c r="I113" s="793">
        <f t="shared" si="4"/>
        <v>0</v>
      </c>
      <c r="J113" s="793"/>
      <c r="K113" s="813"/>
      <c r="L113" s="797"/>
      <c r="M113" s="813"/>
      <c r="N113" s="798"/>
      <c r="O113" s="797"/>
    </row>
    <row r="114" spans="3:15">
      <c r="C114" s="789" t="str">
        <f>IF(D95="","-",+C113+1)</f>
        <v>-</v>
      </c>
      <c r="D114" s="737">
        <f t="shared" si="0"/>
        <v>0</v>
      </c>
      <c r="E114" s="790">
        <f t="shared" si="5"/>
        <v>0</v>
      </c>
      <c r="F114" s="737">
        <f t="shared" si="1"/>
        <v>0</v>
      </c>
      <c r="G114" s="795">
        <f t="shared" si="2"/>
        <v>0</v>
      </c>
      <c r="H114" s="796">
        <f t="shared" si="3"/>
        <v>0</v>
      </c>
      <c r="I114" s="793">
        <f t="shared" si="4"/>
        <v>0</v>
      </c>
      <c r="J114" s="793"/>
      <c r="K114" s="813"/>
      <c r="L114" s="797"/>
      <c r="M114" s="813"/>
      <c r="N114" s="797"/>
      <c r="O114" s="797"/>
    </row>
    <row r="115" spans="3:15">
      <c r="C115" s="789" t="str">
        <f>IF(D95="","-",+C114+1)</f>
        <v>-</v>
      </c>
      <c r="D115" s="737">
        <f t="shared" si="0"/>
        <v>0</v>
      </c>
      <c r="E115" s="790">
        <f t="shared" si="5"/>
        <v>0</v>
      </c>
      <c r="F115" s="737">
        <f t="shared" si="1"/>
        <v>0</v>
      </c>
      <c r="G115" s="795">
        <f t="shared" si="2"/>
        <v>0</v>
      </c>
      <c r="H115" s="796">
        <f t="shared" si="3"/>
        <v>0</v>
      </c>
      <c r="I115" s="793">
        <f t="shared" si="4"/>
        <v>0</v>
      </c>
      <c r="J115" s="793"/>
      <c r="K115" s="813"/>
      <c r="L115" s="797"/>
      <c r="M115" s="813"/>
      <c r="N115" s="797"/>
      <c r="O115" s="797"/>
    </row>
    <row r="116" spans="3:15">
      <c r="C116" s="789" t="str">
        <f>IF(D95="","-",+C115+1)</f>
        <v>-</v>
      </c>
      <c r="D116" s="737">
        <f t="shared" si="0"/>
        <v>0</v>
      </c>
      <c r="E116" s="790">
        <f t="shared" si="5"/>
        <v>0</v>
      </c>
      <c r="F116" s="737">
        <f t="shared" si="1"/>
        <v>0</v>
      </c>
      <c r="G116" s="795">
        <f t="shared" si="2"/>
        <v>0</v>
      </c>
      <c r="H116" s="796">
        <f t="shared" si="3"/>
        <v>0</v>
      </c>
      <c r="I116" s="793">
        <f t="shared" si="4"/>
        <v>0</v>
      </c>
      <c r="J116" s="793"/>
      <c r="K116" s="813"/>
      <c r="L116" s="797"/>
      <c r="M116" s="813"/>
      <c r="N116" s="797"/>
      <c r="O116" s="797"/>
    </row>
    <row r="117" spans="3:15">
      <c r="C117" s="789" t="str">
        <f>IF(D95="","-",+C116+1)</f>
        <v>-</v>
      </c>
      <c r="D117" s="737">
        <f t="shared" si="0"/>
        <v>0</v>
      </c>
      <c r="E117" s="790">
        <f t="shared" si="5"/>
        <v>0</v>
      </c>
      <c r="F117" s="737">
        <f t="shared" si="1"/>
        <v>0</v>
      </c>
      <c r="G117" s="795">
        <f t="shared" si="2"/>
        <v>0</v>
      </c>
      <c r="H117" s="796">
        <f t="shared" si="3"/>
        <v>0</v>
      </c>
      <c r="I117" s="793">
        <f t="shared" si="4"/>
        <v>0</v>
      </c>
      <c r="J117" s="793"/>
      <c r="K117" s="813"/>
      <c r="L117" s="797"/>
      <c r="M117" s="813"/>
      <c r="N117" s="797"/>
      <c r="O117" s="797"/>
    </row>
    <row r="118" spans="3:15">
      <c r="C118" s="789" t="str">
        <f>IF(D95="","-",+C117+1)</f>
        <v>-</v>
      </c>
      <c r="D118" s="737">
        <f t="shared" si="0"/>
        <v>0</v>
      </c>
      <c r="E118" s="790">
        <f t="shared" si="5"/>
        <v>0</v>
      </c>
      <c r="F118" s="737">
        <f t="shared" si="1"/>
        <v>0</v>
      </c>
      <c r="G118" s="795">
        <f t="shared" si="2"/>
        <v>0</v>
      </c>
      <c r="H118" s="796">
        <f t="shared" si="3"/>
        <v>0</v>
      </c>
      <c r="I118" s="793">
        <f t="shared" si="4"/>
        <v>0</v>
      </c>
      <c r="J118" s="793"/>
      <c r="K118" s="813"/>
      <c r="L118" s="797"/>
      <c r="M118" s="813"/>
      <c r="N118" s="797"/>
      <c r="O118" s="797"/>
    </row>
    <row r="119" spans="3:15">
      <c r="C119" s="789" t="str">
        <f>IF(D95="","-",+C118+1)</f>
        <v>-</v>
      </c>
      <c r="D119" s="737">
        <f t="shared" si="0"/>
        <v>0</v>
      </c>
      <c r="E119" s="790">
        <f t="shared" si="5"/>
        <v>0</v>
      </c>
      <c r="F119" s="737">
        <f t="shared" si="1"/>
        <v>0</v>
      </c>
      <c r="G119" s="795">
        <f t="shared" si="2"/>
        <v>0</v>
      </c>
      <c r="H119" s="796">
        <f t="shared" si="3"/>
        <v>0</v>
      </c>
      <c r="I119" s="793">
        <f t="shared" si="4"/>
        <v>0</v>
      </c>
      <c r="J119" s="793"/>
      <c r="K119" s="813"/>
      <c r="L119" s="797"/>
      <c r="M119" s="813"/>
      <c r="N119" s="797"/>
      <c r="O119" s="797"/>
    </row>
    <row r="120" spans="3:15">
      <c r="C120" s="789" t="str">
        <f>IF(D95="","-",+C119+1)</f>
        <v>-</v>
      </c>
      <c r="D120" s="737">
        <f t="shared" si="0"/>
        <v>0</v>
      </c>
      <c r="E120" s="790">
        <f t="shared" si="5"/>
        <v>0</v>
      </c>
      <c r="F120" s="737">
        <f t="shared" si="1"/>
        <v>0</v>
      </c>
      <c r="G120" s="795">
        <f t="shared" si="2"/>
        <v>0</v>
      </c>
      <c r="H120" s="796">
        <f t="shared" si="3"/>
        <v>0</v>
      </c>
      <c r="I120" s="793">
        <f t="shared" si="4"/>
        <v>0</v>
      </c>
      <c r="J120" s="793"/>
      <c r="K120" s="813"/>
      <c r="L120" s="797"/>
      <c r="M120" s="813"/>
      <c r="N120" s="797"/>
      <c r="O120" s="797"/>
    </row>
    <row r="121" spans="3:15">
      <c r="C121" s="789" t="str">
        <f>IF(D95="","-",+C120+1)</f>
        <v>-</v>
      </c>
      <c r="D121" s="737">
        <f t="shared" si="0"/>
        <v>0</v>
      </c>
      <c r="E121" s="790">
        <f t="shared" si="5"/>
        <v>0</v>
      </c>
      <c r="F121" s="737">
        <f t="shared" si="1"/>
        <v>0</v>
      </c>
      <c r="G121" s="795">
        <f t="shared" si="2"/>
        <v>0</v>
      </c>
      <c r="H121" s="796">
        <f t="shared" si="3"/>
        <v>0</v>
      </c>
      <c r="I121" s="793">
        <f t="shared" si="4"/>
        <v>0</v>
      </c>
      <c r="J121" s="793"/>
      <c r="K121" s="813"/>
      <c r="L121" s="797"/>
      <c r="M121" s="813"/>
      <c r="N121" s="797"/>
      <c r="O121" s="797"/>
    </row>
    <row r="122" spans="3:15">
      <c r="C122" s="789" t="str">
        <f>IF(D95="","-",+C121+1)</f>
        <v>-</v>
      </c>
      <c r="D122" s="737">
        <f t="shared" si="0"/>
        <v>0</v>
      </c>
      <c r="E122" s="790">
        <f t="shared" si="5"/>
        <v>0</v>
      </c>
      <c r="F122" s="737">
        <f t="shared" si="1"/>
        <v>0</v>
      </c>
      <c r="G122" s="795">
        <f t="shared" si="2"/>
        <v>0</v>
      </c>
      <c r="H122" s="796">
        <f t="shared" si="3"/>
        <v>0</v>
      </c>
      <c r="I122" s="793">
        <f t="shared" si="4"/>
        <v>0</v>
      </c>
      <c r="J122" s="793"/>
      <c r="K122" s="813"/>
      <c r="L122" s="797"/>
      <c r="M122" s="813"/>
      <c r="N122" s="797"/>
      <c r="O122" s="797"/>
    </row>
    <row r="123" spans="3:15">
      <c r="C123" s="789" t="str">
        <f>IF(D95="","-",+C122+1)</f>
        <v>-</v>
      </c>
      <c r="D123" s="737">
        <f t="shared" si="0"/>
        <v>0</v>
      </c>
      <c r="E123" s="790">
        <f t="shared" si="5"/>
        <v>0</v>
      </c>
      <c r="F123" s="737">
        <f t="shared" si="1"/>
        <v>0</v>
      </c>
      <c r="G123" s="795">
        <f t="shared" si="2"/>
        <v>0</v>
      </c>
      <c r="H123" s="796">
        <f t="shared" si="3"/>
        <v>0</v>
      </c>
      <c r="I123" s="793">
        <f t="shared" si="4"/>
        <v>0</v>
      </c>
      <c r="J123" s="793"/>
      <c r="K123" s="813"/>
      <c r="L123" s="797"/>
      <c r="M123" s="813"/>
      <c r="N123" s="797"/>
      <c r="O123" s="797"/>
    </row>
    <row r="124" spans="3:15">
      <c r="C124" s="789" t="str">
        <f>IF(D95="","-",+C123+1)</f>
        <v>-</v>
      </c>
      <c r="D124" s="737">
        <f t="shared" si="0"/>
        <v>0</v>
      </c>
      <c r="E124" s="790">
        <f t="shared" si="5"/>
        <v>0</v>
      </c>
      <c r="F124" s="737">
        <f t="shared" si="1"/>
        <v>0</v>
      </c>
      <c r="G124" s="795">
        <f t="shared" si="2"/>
        <v>0</v>
      </c>
      <c r="H124" s="796">
        <f t="shared" si="3"/>
        <v>0</v>
      </c>
      <c r="I124" s="793">
        <f t="shared" si="4"/>
        <v>0</v>
      </c>
      <c r="J124" s="793"/>
      <c r="K124" s="813"/>
      <c r="L124" s="797"/>
      <c r="M124" s="813"/>
      <c r="N124" s="797"/>
      <c r="O124" s="797"/>
    </row>
    <row r="125" spans="3:15">
      <c r="C125" s="789" t="str">
        <f>IF(D95="","-",+C124+1)</f>
        <v>-</v>
      </c>
      <c r="D125" s="737">
        <f t="shared" si="0"/>
        <v>0</v>
      </c>
      <c r="E125" s="790">
        <f t="shared" si="5"/>
        <v>0</v>
      </c>
      <c r="F125" s="737">
        <f t="shared" si="1"/>
        <v>0</v>
      </c>
      <c r="G125" s="795">
        <f t="shared" si="2"/>
        <v>0</v>
      </c>
      <c r="H125" s="796">
        <f t="shared" si="3"/>
        <v>0</v>
      </c>
      <c r="I125" s="793">
        <f t="shared" si="4"/>
        <v>0</v>
      </c>
      <c r="J125" s="793"/>
      <c r="K125" s="813"/>
      <c r="L125" s="797"/>
      <c r="M125" s="813"/>
      <c r="N125" s="797"/>
      <c r="O125" s="797"/>
    </row>
    <row r="126" spans="3:15">
      <c r="C126" s="789" t="str">
        <f>IF(D95="","-",+C125+1)</f>
        <v>-</v>
      </c>
      <c r="D126" s="737">
        <f t="shared" si="0"/>
        <v>0</v>
      </c>
      <c r="E126" s="790">
        <f t="shared" si="5"/>
        <v>0</v>
      </c>
      <c r="F126" s="737">
        <f t="shared" si="1"/>
        <v>0</v>
      </c>
      <c r="G126" s="795">
        <f t="shared" si="2"/>
        <v>0</v>
      </c>
      <c r="H126" s="796">
        <f t="shared" si="3"/>
        <v>0</v>
      </c>
      <c r="I126" s="793">
        <f t="shared" si="4"/>
        <v>0</v>
      </c>
      <c r="J126" s="793"/>
      <c r="K126" s="813"/>
      <c r="L126" s="797"/>
      <c r="M126" s="813"/>
      <c r="N126" s="797"/>
      <c r="O126" s="797"/>
    </row>
    <row r="127" spans="3:15">
      <c r="C127" s="789" t="str">
        <f>IF(D95="","-",+C126+1)</f>
        <v>-</v>
      </c>
      <c r="D127" s="737">
        <f t="shared" si="0"/>
        <v>0</v>
      </c>
      <c r="E127" s="790">
        <f t="shared" si="5"/>
        <v>0</v>
      </c>
      <c r="F127" s="737">
        <f t="shared" si="1"/>
        <v>0</v>
      </c>
      <c r="G127" s="795">
        <f t="shared" si="2"/>
        <v>0</v>
      </c>
      <c r="H127" s="796">
        <f t="shared" si="3"/>
        <v>0</v>
      </c>
      <c r="I127" s="793">
        <f t="shared" si="4"/>
        <v>0</v>
      </c>
      <c r="J127" s="793"/>
      <c r="K127" s="813"/>
      <c r="L127" s="797"/>
      <c r="M127" s="813"/>
      <c r="N127" s="797"/>
      <c r="O127" s="797"/>
    </row>
    <row r="128" spans="3:15">
      <c r="C128" s="789" t="str">
        <f>IF(D95="","-",+C127+1)</f>
        <v>-</v>
      </c>
      <c r="D128" s="737">
        <f t="shared" si="0"/>
        <v>0</v>
      </c>
      <c r="E128" s="790">
        <f t="shared" si="5"/>
        <v>0</v>
      </c>
      <c r="F128" s="737">
        <f t="shared" si="1"/>
        <v>0</v>
      </c>
      <c r="G128" s="795">
        <f t="shared" si="2"/>
        <v>0</v>
      </c>
      <c r="H128" s="796">
        <f t="shared" si="3"/>
        <v>0</v>
      </c>
      <c r="I128" s="793">
        <f t="shared" si="4"/>
        <v>0</v>
      </c>
      <c r="J128" s="793"/>
      <c r="K128" s="813"/>
      <c r="L128" s="797"/>
      <c r="M128" s="813"/>
      <c r="N128" s="797"/>
      <c r="O128" s="797"/>
    </row>
    <row r="129" spans="3:15">
      <c r="C129" s="789" t="str">
        <f>IF(D95="","-",+C128+1)</f>
        <v>-</v>
      </c>
      <c r="D129" s="737">
        <f t="shared" si="0"/>
        <v>0</v>
      </c>
      <c r="E129" s="790">
        <f t="shared" si="5"/>
        <v>0</v>
      </c>
      <c r="F129" s="737">
        <f t="shared" si="1"/>
        <v>0</v>
      </c>
      <c r="G129" s="791">
        <f t="shared" si="2"/>
        <v>0</v>
      </c>
      <c r="H129" s="796">
        <f t="shared" si="3"/>
        <v>0</v>
      </c>
      <c r="I129" s="793">
        <f t="shared" si="4"/>
        <v>0</v>
      </c>
      <c r="J129" s="793"/>
      <c r="K129" s="813"/>
      <c r="L129" s="797"/>
      <c r="M129" s="813"/>
      <c r="N129" s="797"/>
      <c r="O129" s="797"/>
    </row>
    <row r="130" spans="3:15">
      <c r="C130" s="789" t="str">
        <f>IF(D95="","-",+C129+1)</f>
        <v>-</v>
      </c>
      <c r="D130" s="737">
        <f t="shared" si="0"/>
        <v>0</v>
      </c>
      <c r="E130" s="790">
        <f t="shared" si="5"/>
        <v>0</v>
      </c>
      <c r="F130" s="737">
        <f t="shared" si="1"/>
        <v>0</v>
      </c>
      <c r="G130" s="795">
        <f t="shared" si="2"/>
        <v>0</v>
      </c>
      <c r="H130" s="796">
        <f t="shared" si="3"/>
        <v>0</v>
      </c>
      <c r="I130" s="793">
        <f t="shared" si="4"/>
        <v>0</v>
      </c>
      <c r="J130" s="793"/>
      <c r="K130" s="813"/>
      <c r="L130" s="797"/>
      <c r="M130" s="813"/>
      <c r="N130" s="797"/>
      <c r="O130" s="797"/>
    </row>
    <row r="131" spans="3:15">
      <c r="C131" s="789" t="str">
        <f>IF(D95="","-",+C130+1)</f>
        <v>-</v>
      </c>
      <c r="D131" s="737">
        <f t="shared" si="0"/>
        <v>0</v>
      </c>
      <c r="E131" s="790">
        <f t="shared" si="5"/>
        <v>0</v>
      </c>
      <c r="F131" s="737">
        <f t="shared" si="1"/>
        <v>0</v>
      </c>
      <c r="G131" s="795">
        <f t="shared" si="2"/>
        <v>0</v>
      </c>
      <c r="H131" s="796">
        <f t="shared" si="3"/>
        <v>0</v>
      </c>
      <c r="I131" s="793">
        <f t="shared" si="4"/>
        <v>0</v>
      </c>
      <c r="J131" s="793"/>
      <c r="K131" s="813"/>
      <c r="L131" s="797"/>
      <c r="M131" s="813"/>
      <c r="N131" s="797"/>
      <c r="O131" s="797"/>
    </row>
    <row r="132" spans="3:15">
      <c r="C132" s="789" t="str">
        <f>IF(D95="","-",+C131+1)</f>
        <v>-</v>
      </c>
      <c r="D132" s="737">
        <f t="shared" si="0"/>
        <v>0</v>
      </c>
      <c r="E132" s="790">
        <f t="shared" si="5"/>
        <v>0</v>
      </c>
      <c r="F132" s="737">
        <f t="shared" si="1"/>
        <v>0</v>
      </c>
      <c r="G132" s="795">
        <f t="shared" si="2"/>
        <v>0</v>
      </c>
      <c r="H132" s="796">
        <f t="shared" si="3"/>
        <v>0</v>
      </c>
      <c r="I132" s="793">
        <f t="shared" si="4"/>
        <v>0</v>
      </c>
      <c r="J132" s="793"/>
      <c r="K132" s="813"/>
      <c r="L132" s="797"/>
      <c r="M132" s="813"/>
      <c r="N132" s="797"/>
      <c r="O132" s="797"/>
    </row>
    <row r="133" spans="3:15">
      <c r="C133" s="789" t="str">
        <f>IF(D95="","-",+C132+1)</f>
        <v>-</v>
      </c>
      <c r="D133" s="737">
        <f t="shared" si="0"/>
        <v>0</v>
      </c>
      <c r="E133" s="790">
        <f t="shared" si="5"/>
        <v>0</v>
      </c>
      <c r="F133" s="737">
        <f t="shared" si="1"/>
        <v>0</v>
      </c>
      <c r="G133" s="795">
        <f t="shared" si="2"/>
        <v>0</v>
      </c>
      <c r="H133" s="796">
        <f t="shared" si="3"/>
        <v>0</v>
      </c>
      <c r="I133" s="793">
        <f t="shared" si="4"/>
        <v>0</v>
      </c>
      <c r="J133" s="793"/>
      <c r="K133" s="813"/>
      <c r="L133" s="797"/>
      <c r="M133" s="813"/>
      <c r="N133" s="797"/>
      <c r="O133" s="797"/>
    </row>
    <row r="134" spans="3:15">
      <c r="C134" s="789" t="str">
        <f>IF(D95="","-",+C133+1)</f>
        <v>-</v>
      </c>
      <c r="D134" s="737">
        <f t="shared" si="0"/>
        <v>0</v>
      </c>
      <c r="E134" s="790">
        <f t="shared" si="5"/>
        <v>0</v>
      </c>
      <c r="F134" s="737">
        <f t="shared" si="1"/>
        <v>0</v>
      </c>
      <c r="G134" s="795">
        <f t="shared" si="2"/>
        <v>0</v>
      </c>
      <c r="H134" s="796">
        <f t="shared" si="3"/>
        <v>0</v>
      </c>
      <c r="I134" s="793">
        <f t="shared" si="4"/>
        <v>0</v>
      </c>
      <c r="J134" s="793"/>
      <c r="K134" s="813"/>
      <c r="L134" s="797"/>
      <c r="M134" s="813"/>
      <c r="N134" s="797"/>
      <c r="O134" s="797"/>
    </row>
    <row r="135" spans="3:15">
      <c r="C135" s="789" t="str">
        <f>IF(D95="","-",+C134+1)</f>
        <v>-</v>
      </c>
      <c r="D135" s="737">
        <f t="shared" si="0"/>
        <v>0</v>
      </c>
      <c r="E135" s="790">
        <f t="shared" si="5"/>
        <v>0</v>
      </c>
      <c r="F135" s="737">
        <f t="shared" si="1"/>
        <v>0</v>
      </c>
      <c r="G135" s="795">
        <f t="shared" si="2"/>
        <v>0</v>
      </c>
      <c r="H135" s="796">
        <f t="shared" si="3"/>
        <v>0</v>
      </c>
      <c r="I135" s="793">
        <f t="shared" si="4"/>
        <v>0</v>
      </c>
      <c r="J135" s="793"/>
      <c r="K135" s="813"/>
      <c r="L135" s="797"/>
      <c r="M135" s="813"/>
      <c r="N135" s="797"/>
      <c r="O135" s="797"/>
    </row>
    <row r="136" spans="3:15">
      <c r="C136" s="789" t="str">
        <f>IF(D95="","-",+C135+1)</f>
        <v>-</v>
      </c>
      <c r="D136" s="737">
        <f t="shared" si="0"/>
        <v>0</v>
      </c>
      <c r="E136" s="790">
        <f t="shared" si="5"/>
        <v>0</v>
      </c>
      <c r="F136" s="737">
        <f t="shared" si="1"/>
        <v>0</v>
      </c>
      <c r="G136" s="795">
        <f t="shared" si="2"/>
        <v>0</v>
      </c>
      <c r="H136" s="796">
        <f t="shared" si="3"/>
        <v>0</v>
      </c>
      <c r="I136" s="793">
        <f t="shared" si="4"/>
        <v>0</v>
      </c>
      <c r="J136" s="793"/>
      <c r="K136" s="813"/>
      <c r="L136" s="797"/>
      <c r="M136" s="813"/>
      <c r="N136" s="797"/>
      <c r="O136" s="797"/>
    </row>
    <row r="137" spans="3:15">
      <c r="C137" s="789" t="str">
        <f>IF(D95="","-",+C136+1)</f>
        <v>-</v>
      </c>
      <c r="D137" s="737">
        <f t="shared" si="0"/>
        <v>0</v>
      </c>
      <c r="E137" s="790">
        <f t="shared" si="5"/>
        <v>0</v>
      </c>
      <c r="F137" s="737">
        <f t="shared" si="1"/>
        <v>0</v>
      </c>
      <c r="G137" s="795">
        <f t="shared" si="2"/>
        <v>0</v>
      </c>
      <c r="H137" s="796">
        <f t="shared" si="3"/>
        <v>0</v>
      </c>
      <c r="I137" s="793">
        <f t="shared" si="4"/>
        <v>0</v>
      </c>
      <c r="J137" s="793"/>
      <c r="K137" s="813"/>
      <c r="L137" s="797"/>
      <c r="M137" s="813"/>
      <c r="N137" s="797"/>
      <c r="O137" s="797"/>
    </row>
    <row r="138" spans="3:15">
      <c r="C138" s="789" t="str">
        <f>IF(D95="","-",+C137+1)</f>
        <v>-</v>
      </c>
      <c r="D138" s="737">
        <f t="shared" si="0"/>
        <v>0</v>
      </c>
      <c r="E138" s="790">
        <f t="shared" si="5"/>
        <v>0</v>
      </c>
      <c r="F138" s="737">
        <f t="shared" si="1"/>
        <v>0</v>
      </c>
      <c r="G138" s="795">
        <f t="shared" si="2"/>
        <v>0</v>
      </c>
      <c r="H138" s="796">
        <f t="shared" si="3"/>
        <v>0</v>
      </c>
      <c r="I138" s="793">
        <f t="shared" si="4"/>
        <v>0</v>
      </c>
      <c r="J138" s="793"/>
      <c r="K138" s="813"/>
      <c r="L138" s="797"/>
      <c r="M138" s="813"/>
      <c r="N138" s="797"/>
      <c r="O138" s="797"/>
    </row>
    <row r="139" spans="3:15">
      <c r="C139" s="789" t="str">
        <f>IF(D95="","-",+C138+1)</f>
        <v>-</v>
      </c>
      <c r="D139" s="737">
        <f t="shared" si="0"/>
        <v>0</v>
      </c>
      <c r="E139" s="790">
        <f t="shared" si="5"/>
        <v>0</v>
      </c>
      <c r="F139" s="737">
        <f t="shared" si="1"/>
        <v>0</v>
      </c>
      <c r="G139" s="795">
        <f t="shared" si="2"/>
        <v>0</v>
      </c>
      <c r="H139" s="796">
        <f t="shared" si="3"/>
        <v>0</v>
      </c>
      <c r="I139" s="793">
        <f t="shared" si="4"/>
        <v>0</v>
      </c>
      <c r="J139" s="793"/>
      <c r="K139" s="813"/>
      <c r="L139" s="797"/>
      <c r="M139" s="813"/>
      <c r="N139" s="797"/>
      <c r="O139" s="797"/>
    </row>
    <row r="140" spans="3:15">
      <c r="C140" s="789" t="str">
        <f>IF(D95="","-",+C139+1)</f>
        <v>-</v>
      </c>
      <c r="D140" s="737">
        <f t="shared" si="0"/>
        <v>0</v>
      </c>
      <c r="E140" s="790">
        <f t="shared" si="5"/>
        <v>0</v>
      </c>
      <c r="F140" s="737">
        <f t="shared" si="1"/>
        <v>0</v>
      </c>
      <c r="G140" s="795">
        <f t="shared" si="2"/>
        <v>0</v>
      </c>
      <c r="H140" s="796">
        <f t="shared" si="3"/>
        <v>0</v>
      </c>
      <c r="I140" s="793">
        <f t="shared" si="4"/>
        <v>0</v>
      </c>
      <c r="J140" s="793"/>
      <c r="K140" s="813"/>
      <c r="L140" s="797"/>
      <c r="M140" s="813"/>
      <c r="N140" s="797"/>
      <c r="O140" s="797"/>
    </row>
    <row r="141" spans="3:15">
      <c r="C141" s="789" t="str">
        <f>IF(D95="","-",+C140+1)</f>
        <v>-</v>
      </c>
      <c r="D141" s="737">
        <f t="shared" si="0"/>
        <v>0</v>
      </c>
      <c r="E141" s="790">
        <f t="shared" si="5"/>
        <v>0</v>
      </c>
      <c r="F141" s="737">
        <f t="shared" si="1"/>
        <v>0</v>
      </c>
      <c r="G141" s="795">
        <f t="shared" si="2"/>
        <v>0</v>
      </c>
      <c r="H141" s="796">
        <f t="shared" si="3"/>
        <v>0</v>
      </c>
      <c r="I141" s="793">
        <f t="shared" si="4"/>
        <v>0</v>
      </c>
      <c r="J141" s="793"/>
      <c r="K141" s="813"/>
      <c r="L141" s="797"/>
      <c r="M141" s="813"/>
      <c r="N141" s="797"/>
      <c r="O141" s="797"/>
    </row>
    <row r="142" spans="3:15">
      <c r="C142" s="789" t="str">
        <f>IF(D95="","-",+C141+1)</f>
        <v>-</v>
      </c>
      <c r="D142" s="737">
        <f t="shared" si="0"/>
        <v>0</v>
      </c>
      <c r="E142" s="790">
        <f t="shared" si="5"/>
        <v>0</v>
      </c>
      <c r="F142" s="737">
        <f t="shared" si="1"/>
        <v>0</v>
      </c>
      <c r="G142" s="795">
        <f t="shared" si="2"/>
        <v>0</v>
      </c>
      <c r="H142" s="796">
        <f t="shared" si="3"/>
        <v>0</v>
      </c>
      <c r="I142" s="793">
        <f t="shared" si="4"/>
        <v>0</v>
      </c>
      <c r="J142" s="793"/>
      <c r="K142" s="813"/>
      <c r="L142" s="797"/>
      <c r="M142" s="813"/>
      <c r="N142" s="797"/>
      <c r="O142" s="797"/>
    </row>
    <row r="143" spans="3:15">
      <c r="C143" s="789" t="str">
        <f>IF(D95="","-",+C142+1)</f>
        <v>-</v>
      </c>
      <c r="D143" s="737">
        <f t="shared" si="0"/>
        <v>0</v>
      </c>
      <c r="E143" s="790">
        <f t="shared" si="5"/>
        <v>0</v>
      </c>
      <c r="F143" s="737">
        <f t="shared" si="1"/>
        <v>0</v>
      </c>
      <c r="G143" s="795">
        <f t="shared" si="2"/>
        <v>0</v>
      </c>
      <c r="H143" s="796">
        <f t="shared" si="3"/>
        <v>0</v>
      </c>
      <c r="I143" s="793">
        <f t="shared" si="4"/>
        <v>0</v>
      </c>
      <c r="J143" s="793"/>
      <c r="K143" s="813"/>
      <c r="L143" s="797"/>
      <c r="M143" s="813"/>
      <c r="N143" s="797"/>
      <c r="O143" s="797"/>
    </row>
    <row r="144" spans="3:15">
      <c r="C144" s="789" t="str">
        <f>IF(D95="","-",+C143+1)</f>
        <v>-</v>
      </c>
      <c r="D144" s="737">
        <f t="shared" si="0"/>
        <v>0</v>
      </c>
      <c r="E144" s="790">
        <f t="shared" si="5"/>
        <v>0</v>
      </c>
      <c r="F144" s="737">
        <f t="shared" si="1"/>
        <v>0</v>
      </c>
      <c r="G144" s="795">
        <f t="shared" si="2"/>
        <v>0</v>
      </c>
      <c r="H144" s="796">
        <f t="shared" si="3"/>
        <v>0</v>
      </c>
      <c r="I144" s="793">
        <f t="shared" si="4"/>
        <v>0</v>
      </c>
      <c r="J144" s="793"/>
      <c r="K144" s="813"/>
      <c r="L144" s="797"/>
      <c r="M144" s="813"/>
      <c r="N144" s="797"/>
      <c r="O144" s="797"/>
    </row>
    <row r="145" spans="3:15">
      <c r="C145" s="789" t="str">
        <f>IF(D95="","-",+C144+1)</f>
        <v>-</v>
      </c>
      <c r="D145" s="737">
        <f t="shared" si="0"/>
        <v>0</v>
      </c>
      <c r="E145" s="790">
        <f t="shared" si="5"/>
        <v>0</v>
      </c>
      <c r="F145" s="737">
        <f t="shared" si="1"/>
        <v>0</v>
      </c>
      <c r="G145" s="795">
        <f t="shared" si="2"/>
        <v>0</v>
      </c>
      <c r="H145" s="796">
        <f t="shared" si="3"/>
        <v>0</v>
      </c>
      <c r="I145" s="793">
        <f t="shared" si="4"/>
        <v>0</v>
      </c>
      <c r="J145" s="793"/>
      <c r="K145" s="813"/>
      <c r="L145" s="797"/>
      <c r="M145" s="813"/>
      <c r="N145" s="797"/>
      <c r="O145" s="797"/>
    </row>
    <row r="146" spans="3:15">
      <c r="C146" s="789" t="str">
        <f>IF(D95="","-",+C145+1)</f>
        <v>-</v>
      </c>
      <c r="D146" s="737">
        <f t="shared" si="0"/>
        <v>0</v>
      </c>
      <c r="E146" s="790">
        <f t="shared" si="5"/>
        <v>0</v>
      </c>
      <c r="F146" s="737">
        <f t="shared" si="1"/>
        <v>0</v>
      </c>
      <c r="G146" s="795">
        <f t="shared" si="2"/>
        <v>0</v>
      </c>
      <c r="H146" s="796">
        <f t="shared" si="3"/>
        <v>0</v>
      </c>
      <c r="I146" s="793">
        <f t="shared" si="4"/>
        <v>0</v>
      </c>
      <c r="J146" s="793"/>
      <c r="K146" s="813"/>
      <c r="L146" s="797"/>
      <c r="M146" s="813"/>
      <c r="N146" s="797"/>
      <c r="O146" s="797"/>
    </row>
    <row r="147" spans="3:15">
      <c r="C147" s="789" t="str">
        <f>IF(D95="","-",+C146+1)</f>
        <v>-</v>
      </c>
      <c r="D147" s="737">
        <f t="shared" si="0"/>
        <v>0</v>
      </c>
      <c r="E147" s="790">
        <f t="shared" si="5"/>
        <v>0</v>
      </c>
      <c r="F147" s="737">
        <f t="shared" si="1"/>
        <v>0</v>
      </c>
      <c r="G147" s="795">
        <f t="shared" si="2"/>
        <v>0</v>
      </c>
      <c r="H147" s="796">
        <f t="shared" si="3"/>
        <v>0</v>
      </c>
      <c r="I147" s="793">
        <f t="shared" si="4"/>
        <v>0</v>
      </c>
      <c r="J147" s="793"/>
      <c r="K147" s="813"/>
      <c r="L147" s="797"/>
      <c r="M147" s="813"/>
      <c r="N147" s="797"/>
      <c r="O147" s="797"/>
    </row>
    <row r="148" spans="3:15">
      <c r="C148" s="789" t="str">
        <f>IF(D95="","-",+C147+1)</f>
        <v>-</v>
      </c>
      <c r="D148" s="737">
        <f t="shared" si="0"/>
        <v>0</v>
      </c>
      <c r="E148" s="790">
        <f t="shared" si="5"/>
        <v>0</v>
      </c>
      <c r="F148" s="737">
        <f t="shared" si="1"/>
        <v>0</v>
      </c>
      <c r="G148" s="795">
        <f t="shared" si="2"/>
        <v>0</v>
      </c>
      <c r="H148" s="796">
        <f t="shared" si="3"/>
        <v>0</v>
      </c>
      <c r="I148" s="793">
        <f t="shared" si="4"/>
        <v>0</v>
      </c>
      <c r="J148" s="793"/>
      <c r="K148" s="813"/>
      <c r="L148" s="797"/>
      <c r="M148" s="813"/>
      <c r="N148" s="797"/>
      <c r="O148" s="797"/>
    </row>
    <row r="149" spans="3:15">
      <c r="C149" s="789" t="str">
        <f>IF(D95="","-",+C148+1)</f>
        <v>-</v>
      </c>
      <c r="D149" s="737">
        <f t="shared" si="0"/>
        <v>0</v>
      </c>
      <c r="E149" s="790">
        <f t="shared" si="5"/>
        <v>0</v>
      </c>
      <c r="F149" s="737">
        <f t="shared" si="1"/>
        <v>0</v>
      </c>
      <c r="G149" s="795">
        <f t="shared" si="2"/>
        <v>0</v>
      </c>
      <c r="H149" s="796">
        <f t="shared" si="3"/>
        <v>0</v>
      </c>
      <c r="I149" s="793">
        <f t="shared" si="4"/>
        <v>0</v>
      </c>
      <c r="J149" s="793"/>
      <c r="K149" s="813"/>
      <c r="L149" s="797"/>
      <c r="M149" s="813"/>
      <c r="N149" s="797"/>
      <c r="O149" s="797"/>
    </row>
    <row r="150" spans="3:15">
      <c r="C150" s="789" t="str">
        <f>IF(D95="","-",+C149+1)</f>
        <v>-</v>
      </c>
      <c r="D150" s="737">
        <f t="shared" si="0"/>
        <v>0</v>
      </c>
      <c r="E150" s="790">
        <f t="shared" si="5"/>
        <v>0</v>
      </c>
      <c r="F150" s="737">
        <f t="shared" si="1"/>
        <v>0</v>
      </c>
      <c r="G150" s="795">
        <f t="shared" si="2"/>
        <v>0</v>
      </c>
      <c r="H150" s="796">
        <f t="shared" si="3"/>
        <v>0</v>
      </c>
      <c r="I150" s="793">
        <f t="shared" si="4"/>
        <v>0</v>
      </c>
      <c r="J150" s="793"/>
      <c r="K150" s="813"/>
      <c r="L150" s="797"/>
      <c r="M150" s="813"/>
      <c r="N150" s="797"/>
      <c r="O150" s="797"/>
    </row>
    <row r="151" spans="3:15">
      <c r="C151" s="789" t="str">
        <f>IF(D95="","-",+C150+1)</f>
        <v>-</v>
      </c>
      <c r="D151" s="737">
        <f t="shared" si="0"/>
        <v>0</v>
      </c>
      <c r="E151" s="790">
        <f t="shared" si="5"/>
        <v>0</v>
      </c>
      <c r="F151" s="737">
        <f t="shared" si="1"/>
        <v>0</v>
      </c>
      <c r="G151" s="795">
        <f t="shared" si="2"/>
        <v>0</v>
      </c>
      <c r="H151" s="796">
        <f t="shared" si="3"/>
        <v>0</v>
      </c>
      <c r="I151" s="793">
        <f t="shared" si="4"/>
        <v>0</v>
      </c>
      <c r="J151" s="793"/>
      <c r="K151" s="813"/>
      <c r="L151" s="797"/>
      <c r="M151" s="813"/>
      <c r="N151" s="797"/>
      <c r="O151" s="797"/>
    </row>
    <row r="152" spans="3:15">
      <c r="C152" s="789" t="str">
        <f>IF(D95="","-",+C151+1)</f>
        <v>-</v>
      </c>
      <c r="D152" s="737">
        <f t="shared" si="0"/>
        <v>0</v>
      </c>
      <c r="E152" s="790">
        <f t="shared" si="5"/>
        <v>0</v>
      </c>
      <c r="F152" s="737">
        <f t="shared" si="1"/>
        <v>0</v>
      </c>
      <c r="G152" s="795">
        <f t="shared" si="2"/>
        <v>0</v>
      </c>
      <c r="H152" s="796">
        <f t="shared" si="3"/>
        <v>0</v>
      </c>
      <c r="I152" s="793">
        <f t="shared" si="4"/>
        <v>0</v>
      </c>
      <c r="J152" s="793"/>
      <c r="K152" s="813"/>
      <c r="L152" s="797"/>
      <c r="M152" s="813"/>
      <c r="N152" s="797"/>
      <c r="O152" s="797"/>
    </row>
    <row r="153" spans="3:15">
      <c r="C153" s="789" t="str">
        <f>IF(D95="","-",+C152+1)</f>
        <v>-</v>
      </c>
      <c r="D153" s="737">
        <f t="shared" si="0"/>
        <v>0</v>
      </c>
      <c r="E153" s="790">
        <f t="shared" si="5"/>
        <v>0</v>
      </c>
      <c r="F153" s="737">
        <f t="shared" si="1"/>
        <v>0</v>
      </c>
      <c r="G153" s="795">
        <f t="shared" si="2"/>
        <v>0</v>
      </c>
      <c r="H153" s="796">
        <f t="shared" si="3"/>
        <v>0</v>
      </c>
      <c r="I153" s="793">
        <f t="shared" si="4"/>
        <v>0</v>
      </c>
      <c r="J153" s="793"/>
      <c r="K153" s="813"/>
      <c r="L153" s="797"/>
      <c r="M153" s="813"/>
      <c r="N153" s="797"/>
      <c r="O153" s="797"/>
    </row>
    <row r="154" spans="3:15">
      <c r="C154" s="789" t="str">
        <f>IF(D95="","-",+C153+1)</f>
        <v>-</v>
      </c>
      <c r="D154" s="737">
        <f t="shared" si="0"/>
        <v>0</v>
      </c>
      <c r="E154" s="790">
        <f t="shared" si="5"/>
        <v>0</v>
      </c>
      <c r="F154" s="737">
        <f t="shared" si="1"/>
        <v>0</v>
      </c>
      <c r="G154" s="795">
        <f t="shared" si="2"/>
        <v>0</v>
      </c>
      <c r="H154" s="796">
        <f t="shared" si="3"/>
        <v>0</v>
      </c>
      <c r="I154" s="793">
        <f t="shared" si="4"/>
        <v>0</v>
      </c>
      <c r="J154" s="793"/>
      <c r="K154" s="813"/>
      <c r="L154" s="797"/>
      <c r="M154" s="813"/>
      <c r="N154" s="797"/>
      <c r="O154" s="797"/>
    </row>
    <row r="155" spans="3:15">
      <c r="C155" s="789" t="str">
        <f>IF(D95="","-",+C154+1)</f>
        <v>-</v>
      </c>
      <c r="D155" s="737">
        <f t="shared" si="0"/>
        <v>0</v>
      </c>
      <c r="E155" s="790">
        <f t="shared" si="5"/>
        <v>0</v>
      </c>
      <c r="F155" s="737">
        <f t="shared" si="1"/>
        <v>0</v>
      </c>
      <c r="G155" s="795">
        <f t="shared" si="2"/>
        <v>0</v>
      </c>
      <c r="H155" s="796">
        <f t="shared" si="3"/>
        <v>0</v>
      </c>
      <c r="I155" s="793">
        <f t="shared" si="4"/>
        <v>0</v>
      </c>
      <c r="J155" s="793"/>
      <c r="K155" s="813"/>
      <c r="L155" s="797"/>
      <c r="M155" s="813"/>
      <c r="N155" s="797"/>
      <c r="O155" s="797"/>
    </row>
    <row r="156" spans="3:15">
      <c r="C156" s="789" t="str">
        <f>IF(D95="","-",+C155+1)</f>
        <v>-</v>
      </c>
      <c r="D156" s="737">
        <f t="shared" si="0"/>
        <v>0</v>
      </c>
      <c r="E156" s="790">
        <f t="shared" si="5"/>
        <v>0</v>
      </c>
      <c r="F156" s="737">
        <f t="shared" si="1"/>
        <v>0</v>
      </c>
      <c r="G156" s="795">
        <f t="shared" si="2"/>
        <v>0</v>
      </c>
      <c r="H156" s="796">
        <f t="shared" si="3"/>
        <v>0</v>
      </c>
      <c r="I156" s="793">
        <f t="shared" si="4"/>
        <v>0</v>
      </c>
      <c r="J156" s="793"/>
      <c r="K156" s="813"/>
      <c r="L156" s="797"/>
      <c r="M156" s="813"/>
      <c r="N156" s="797"/>
      <c r="O156" s="797"/>
    </row>
    <row r="157" spans="3:15">
      <c r="C157" s="789" t="str">
        <f>IF(D95="","-",+C156+1)</f>
        <v>-</v>
      </c>
      <c r="D157" s="737">
        <f t="shared" si="0"/>
        <v>0</v>
      </c>
      <c r="E157" s="790">
        <f t="shared" si="5"/>
        <v>0</v>
      </c>
      <c r="F157" s="737">
        <f t="shared" si="1"/>
        <v>0</v>
      </c>
      <c r="G157" s="795">
        <f t="shared" si="2"/>
        <v>0</v>
      </c>
      <c r="H157" s="796">
        <f t="shared" si="3"/>
        <v>0</v>
      </c>
      <c r="I157" s="793">
        <f t="shared" si="4"/>
        <v>0</v>
      </c>
      <c r="J157" s="793"/>
      <c r="K157" s="813"/>
      <c r="L157" s="797"/>
      <c r="M157" s="813"/>
      <c r="N157" s="797"/>
      <c r="O157" s="797"/>
    </row>
    <row r="158" spans="3:15">
      <c r="C158" s="789" t="str">
        <f>IF(D95="","-",+C157+1)</f>
        <v>-</v>
      </c>
      <c r="D158" s="737">
        <f t="shared" si="0"/>
        <v>0</v>
      </c>
      <c r="E158" s="790">
        <f t="shared" si="5"/>
        <v>0</v>
      </c>
      <c r="F158" s="737">
        <f t="shared" si="1"/>
        <v>0</v>
      </c>
      <c r="G158" s="795">
        <f t="shared" si="2"/>
        <v>0</v>
      </c>
      <c r="H158" s="796">
        <f t="shared" si="3"/>
        <v>0</v>
      </c>
      <c r="I158" s="793">
        <f t="shared" si="4"/>
        <v>0</v>
      </c>
      <c r="J158" s="793"/>
      <c r="K158" s="813"/>
      <c r="L158" s="797"/>
      <c r="M158" s="813"/>
      <c r="N158" s="797"/>
      <c r="O158" s="797"/>
    </row>
    <row r="159" spans="3:15">
      <c r="C159" s="789" t="str">
        <f>IF(D95="","-",+C158+1)</f>
        <v>-</v>
      </c>
      <c r="D159" s="737">
        <f t="shared" si="0"/>
        <v>0</v>
      </c>
      <c r="E159" s="790">
        <f t="shared" si="5"/>
        <v>0</v>
      </c>
      <c r="F159" s="737">
        <f t="shared" si="1"/>
        <v>0</v>
      </c>
      <c r="G159" s="795">
        <f t="shared" si="2"/>
        <v>0</v>
      </c>
      <c r="H159" s="796">
        <f t="shared" si="3"/>
        <v>0</v>
      </c>
      <c r="I159" s="793">
        <f t="shared" si="4"/>
        <v>0</v>
      </c>
      <c r="J159" s="793"/>
      <c r="K159" s="813"/>
      <c r="L159" s="797"/>
      <c r="M159" s="813"/>
      <c r="N159" s="797"/>
      <c r="O159" s="797"/>
    </row>
    <row r="160" spans="3:15" ht="13.5" thickBot="1">
      <c r="C160" s="799" t="str">
        <f>IF(D95="","-",+C159+1)</f>
        <v>-</v>
      </c>
      <c r="D160" s="800">
        <f t="shared" si="0"/>
        <v>0</v>
      </c>
      <c r="E160" s="801">
        <f t="shared" si="5"/>
        <v>0</v>
      </c>
      <c r="F160" s="800">
        <f t="shared" si="1"/>
        <v>0</v>
      </c>
      <c r="G160" s="802">
        <f t="shared" si="2"/>
        <v>0</v>
      </c>
      <c r="H160" s="802">
        <f t="shared" si="3"/>
        <v>0</v>
      </c>
      <c r="I160" s="803">
        <f t="shared" si="4"/>
        <v>0</v>
      </c>
      <c r="J160" s="793"/>
      <c r="K160" s="814"/>
      <c r="L160" s="804"/>
      <c r="M160" s="814"/>
      <c r="N160" s="804"/>
      <c r="O160" s="804"/>
    </row>
    <row r="161" spans="3:15">
      <c r="C161" s="737" t="s">
        <v>83</v>
      </c>
      <c r="D161" s="731"/>
      <c r="E161" s="731">
        <f>SUM(E101:E160)</f>
        <v>0</v>
      </c>
      <c r="F161" s="731"/>
      <c r="G161" s="731">
        <f>SUM(G101:G160)</f>
        <v>0</v>
      </c>
      <c r="H161" s="731">
        <f>SUM(H101:H160)</f>
        <v>0</v>
      </c>
      <c r="I161" s="731">
        <f>SUM(I101:I160)</f>
        <v>0</v>
      </c>
      <c r="J161" s="731"/>
      <c r="K161" s="731"/>
      <c r="L161" s="731"/>
      <c r="M161" s="731"/>
      <c r="N161" s="731"/>
      <c r="O161" s="314"/>
    </row>
    <row r="162" spans="3:15">
      <c r="D162" s="539"/>
      <c r="E162" s="314"/>
      <c r="F162" s="314"/>
      <c r="G162" s="314"/>
      <c r="H162" s="709"/>
      <c r="I162" s="709"/>
      <c r="J162" s="731"/>
      <c r="K162" s="709"/>
      <c r="L162" s="709"/>
      <c r="M162" s="709"/>
      <c r="N162" s="709"/>
      <c r="O162" s="314"/>
    </row>
    <row r="163" spans="3:15">
      <c r="C163" s="314" t="s">
        <v>13</v>
      </c>
      <c r="D163" s="539"/>
      <c r="E163" s="314"/>
      <c r="F163" s="314"/>
      <c r="G163" s="314"/>
      <c r="H163" s="709"/>
      <c r="I163" s="709"/>
      <c r="J163" s="731"/>
      <c r="K163" s="709"/>
      <c r="L163" s="709"/>
      <c r="M163" s="709"/>
      <c r="N163" s="709"/>
      <c r="O163" s="314"/>
    </row>
    <row r="164" spans="3:15">
      <c r="C164" s="314"/>
      <c r="D164" s="539"/>
      <c r="E164" s="314"/>
      <c r="F164" s="314"/>
      <c r="G164" s="314"/>
      <c r="H164" s="709"/>
      <c r="I164" s="709"/>
      <c r="J164" s="731"/>
      <c r="K164" s="709"/>
      <c r="L164" s="709"/>
      <c r="M164" s="709"/>
      <c r="N164" s="709"/>
      <c r="O164" s="314"/>
    </row>
    <row r="165" spans="3:15">
      <c r="C165" s="750" t="s">
        <v>14</v>
      </c>
      <c r="D165" s="737"/>
      <c r="E165" s="737"/>
      <c r="F165" s="737"/>
      <c r="G165" s="731"/>
      <c r="H165" s="731"/>
      <c r="I165" s="805"/>
      <c r="J165" s="805"/>
      <c r="K165" s="805"/>
      <c r="L165" s="805"/>
      <c r="M165" s="805"/>
      <c r="N165" s="805"/>
      <c r="O165" s="314"/>
    </row>
    <row r="166" spans="3:15">
      <c r="C166" s="736" t="s">
        <v>263</v>
      </c>
      <c r="D166" s="737"/>
      <c r="E166" s="737"/>
      <c r="F166" s="737"/>
      <c r="G166" s="731"/>
      <c r="H166" s="731"/>
      <c r="I166" s="805"/>
      <c r="J166" s="805"/>
      <c r="K166" s="805"/>
      <c r="L166" s="805"/>
      <c r="M166" s="805"/>
      <c r="N166" s="805"/>
      <c r="O166" s="314"/>
    </row>
    <row r="167" spans="3:15">
      <c r="C167" s="736" t="s">
        <v>84</v>
      </c>
      <c r="D167" s="737"/>
      <c r="E167" s="737"/>
      <c r="F167" s="737"/>
      <c r="G167" s="731"/>
      <c r="H167" s="731"/>
      <c r="I167" s="805"/>
      <c r="J167" s="805"/>
      <c r="K167" s="805"/>
      <c r="L167" s="805"/>
      <c r="M167" s="805"/>
      <c r="N167" s="805"/>
      <c r="O167" s="314"/>
    </row>
    <row r="168" spans="3:15">
      <c r="C168" s="736"/>
      <c r="D168" s="737"/>
      <c r="E168" s="737"/>
      <c r="F168" s="737"/>
      <c r="G168" s="731"/>
      <c r="H168" s="731"/>
      <c r="I168" s="805"/>
      <c r="J168" s="805"/>
      <c r="K168" s="805"/>
      <c r="L168" s="805"/>
      <c r="M168" s="805"/>
      <c r="N168" s="805"/>
      <c r="O168" s="314"/>
    </row>
    <row r="169" spans="3:15">
      <c r="C169" s="1534" t="s">
        <v>6</v>
      </c>
      <c r="D169" s="1534"/>
      <c r="E169" s="1534"/>
      <c r="F169" s="1534"/>
      <c r="G169" s="1534"/>
      <c r="H169" s="1534"/>
      <c r="I169" s="1534"/>
      <c r="J169" s="1534"/>
      <c r="K169" s="1534"/>
      <c r="L169" s="1534"/>
      <c r="M169" s="1534"/>
      <c r="N169" s="1534"/>
      <c r="O169" s="1534"/>
    </row>
    <row r="170" spans="3:15">
      <c r="C170" s="1534"/>
      <c r="D170" s="1534"/>
      <c r="E170" s="1534"/>
      <c r="F170" s="1534"/>
      <c r="G170" s="1534"/>
      <c r="H170" s="1534"/>
      <c r="I170" s="1534"/>
      <c r="J170" s="1534"/>
      <c r="K170" s="1534"/>
      <c r="L170" s="1534"/>
      <c r="M170" s="1534"/>
      <c r="N170" s="1534"/>
      <c r="O170" s="1534"/>
    </row>
  </sheetData>
  <mergeCells count="10">
    <mergeCell ref="D90:I90"/>
    <mergeCell ref="C169:O170"/>
    <mergeCell ref="K94:O94"/>
    <mergeCell ref="A3:O3"/>
    <mergeCell ref="C11:H12"/>
    <mergeCell ref="A4:O4"/>
    <mergeCell ref="A5:O5"/>
    <mergeCell ref="A6:O6"/>
    <mergeCell ref="I77:O80"/>
    <mergeCell ref="K22:O23"/>
  </mergeCells>
  <phoneticPr fontId="0" type="noConversion"/>
  <conditionalFormatting sqref="C101:C160">
    <cfRule type="cellIs" dxfId="5" priority="11" stopIfTrue="1" operator="equal">
      <formula>$I$92</formula>
    </cfRule>
  </conditionalFormatting>
  <pageMargins left="0.25" right="0.25" top="1" bottom="1" header="0.75" footer="0.5"/>
  <pageSetup scale="38" orientation="landscape" r:id="rId1"/>
  <headerFooter alignWithMargins="0">
    <oddHeader>&amp;R&amp;"Arial,Bold"Formula Rate 
&amp;A
Page &amp;P of &amp;N</oddHeader>
  </headerFooter>
  <rowBreaks count="1" manualBreakCount="1">
    <brk id="80" max="1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dimension ref="A1:Q166"/>
  <sheetViews>
    <sheetView view="pageBreakPreview" zoomScale="70" zoomScaleNormal="70" zoomScaleSheetLayoutView="70" workbookViewId="0">
      <selection activeCell="D24" sqref="D24"/>
    </sheetView>
  </sheetViews>
  <sheetFormatPr defaultColWidth="8.85546875" defaultRowHeight="12.75"/>
  <cols>
    <col min="1" max="1" width="4.7109375" style="173" customWidth="1"/>
    <col min="2" max="2" width="6.7109375" style="392" customWidth="1"/>
    <col min="3" max="3" width="20.7109375" style="173" customWidth="1"/>
    <col min="4" max="4" width="22" style="273" customWidth="1"/>
    <col min="5" max="5" width="19.28515625" style="173" customWidth="1"/>
    <col min="6" max="8" width="17.7109375" style="173" customWidth="1"/>
    <col min="9" max="9" width="17.7109375" style="487" customWidth="1"/>
    <col min="10" max="10" width="17.7109375" style="173" bestFit="1" customWidth="1"/>
    <col min="11" max="11" width="2.140625" style="156" customWidth="1"/>
    <col min="12" max="12" width="17.7109375" style="314" customWidth="1"/>
    <col min="13" max="13" width="36.42578125" style="314" customWidth="1"/>
    <col min="14" max="14" width="17.7109375" style="314" customWidth="1"/>
    <col min="15" max="15" width="23.42578125" style="314" customWidth="1"/>
    <col min="16" max="16" width="16.7109375" style="314" customWidth="1"/>
    <col min="17" max="17" width="5" style="173" customWidth="1"/>
    <col min="18" max="16384" width="8.85546875" style="173"/>
  </cols>
  <sheetData>
    <row r="1" spans="1:17" ht="15.75">
      <c r="A1" s="1005" t="s">
        <v>632</v>
      </c>
    </row>
    <row r="2" spans="1:17" ht="15.75">
      <c r="A2" s="1005" t="s">
        <v>633</v>
      </c>
    </row>
    <row r="3" spans="1:17" ht="15">
      <c r="A3" s="1481" t="str">
        <f>TCOS!$F$5</f>
        <v>AEPTCo subsidiaries in PJM</v>
      </c>
      <c r="B3" s="1481" t="str">
        <f>TCOS!$F$5</f>
        <v>AEPTCo subsidiaries in PJM</v>
      </c>
      <c r="C3" s="1481" t="str">
        <f>TCOS!$F$5</f>
        <v>AEPTCo subsidiaries in PJM</v>
      </c>
      <c r="D3" s="1481" t="str">
        <f>TCOS!$F$5</f>
        <v>AEPTCo subsidiaries in PJM</v>
      </c>
      <c r="E3" s="1481" t="str">
        <f>TCOS!$F$5</f>
        <v>AEPTCo subsidiaries in PJM</v>
      </c>
      <c r="F3" s="1481" t="str">
        <f>TCOS!$F$5</f>
        <v>AEPTCo subsidiaries in PJM</v>
      </c>
      <c r="G3" s="1481" t="str">
        <f>TCOS!$F$5</f>
        <v>AEPTCo subsidiaries in PJM</v>
      </c>
      <c r="H3" s="1481" t="str">
        <f>TCOS!$F$5</f>
        <v>AEPTCo subsidiaries in PJM</v>
      </c>
      <c r="I3" s="1481" t="str">
        <f>TCOS!$F$5</f>
        <v>AEPTCo subsidiaries in PJM</v>
      </c>
      <c r="J3" s="1481" t="str">
        <f>TCOS!$F$5</f>
        <v>AEPTCo subsidiaries in PJM</v>
      </c>
      <c r="K3" s="1481" t="str">
        <f>TCOS!$F$5</f>
        <v>AEPTCo subsidiaries in PJM</v>
      </c>
      <c r="L3" s="1481" t="str">
        <f>TCOS!$F$5</f>
        <v>AEPTCo subsidiaries in PJM</v>
      </c>
      <c r="M3" s="1481" t="str">
        <f>TCOS!$F$5</f>
        <v>AEPTCo subsidiaries in PJM</v>
      </c>
      <c r="N3" s="1481" t="str">
        <f>TCOS!$F$5</f>
        <v>AEPTCo subsidiaries in PJM</v>
      </c>
      <c r="O3" s="1481" t="str">
        <f>TCOS!$F$5</f>
        <v>AEPTCo subsidiaries in PJM</v>
      </c>
      <c r="P3" s="1481" t="str">
        <f>TCOS!$F$5</f>
        <v>AEPTCo subsidiaries in PJM</v>
      </c>
      <c r="Q3" s="156"/>
    </row>
    <row r="4" spans="1:17" ht="15">
      <c r="A4" s="1509" t="str">
        <f>"Cost of Service Formula Rate Using Actual/Projected FF1 Balances"</f>
        <v>Cost of Service Formula Rate Using Actual/Projected FF1 Balances</v>
      </c>
      <c r="B4" s="1509"/>
      <c r="C4" s="1509"/>
      <c r="D4" s="1509"/>
      <c r="E4" s="1509"/>
      <c r="F4" s="1509"/>
      <c r="G4" s="1509"/>
      <c r="H4" s="1509"/>
      <c r="I4" s="1509"/>
      <c r="J4" s="1509"/>
      <c r="K4" s="1509"/>
      <c r="L4" s="1509"/>
      <c r="M4" s="1509"/>
      <c r="N4" s="1509"/>
      <c r="O4" s="1509"/>
      <c r="P4" s="1509"/>
      <c r="Q4" s="156"/>
    </row>
    <row r="5" spans="1:17" ht="15">
      <c r="A5" s="1509" t="s">
        <v>257</v>
      </c>
      <c r="B5" s="1509"/>
      <c r="C5" s="1509"/>
      <c r="D5" s="1509"/>
      <c r="E5" s="1509"/>
      <c r="F5" s="1509"/>
      <c r="G5" s="1509"/>
      <c r="H5" s="1509"/>
      <c r="I5" s="1509"/>
      <c r="J5" s="1509"/>
      <c r="K5" s="1509"/>
      <c r="L5" s="1509"/>
      <c r="M5" s="1509"/>
      <c r="N5" s="1509"/>
      <c r="O5" s="1509"/>
      <c r="P5" s="1509"/>
      <c r="Q5" s="156"/>
    </row>
    <row r="6" spans="1:17" ht="15">
      <c r="A6" s="1510" t="str">
        <f>TCOS!F9</f>
        <v>AEP Appalachian Transmission Company</v>
      </c>
      <c r="B6" s="1510"/>
      <c r="C6" s="1510"/>
      <c r="D6" s="1510"/>
      <c r="E6" s="1510"/>
      <c r="F6" s="1510"/>
      <c r="G6" s="1510"/>
      <c r="H6" s="1510"/>
      <c r="I6" s="1510"/>
      <c r="J6" s="1510"/>
      <c r="K6" s="1510"/>
      <c r="L6" s="1510"/>
      <c r="M6" s="1510"/>
      <c r="N6" s="1510"/>
      <c r="O6" s="1510"/>
      <c r="P6" s="1510"/>
      <c r="Q6" s="156"/>
    </row>
    <row r="7" spans="1:17">
      <c r="Q7" s="156"/>
    </row>
    <row r="8" spans="1:17" ht="20.25">
      <c r="A8" s="653"/>
      <c r="C8" s="392"/>
      <c r="O8" s="654" t="str">
        <f>"Page "&amp;Q8&amp;" of "</f>
        <v xml:space="preserve">Page 1 of </v>
      </c>
      <c r="P8" s="655">
        <f>COUNT(Q$8:Q$57702)</f>
        <v>2</v>
      </c>
      <c r="Q8" s="656">
        <v>1</v>
      </c>
    </row>
    <row r="9" spans="1:17" ht="18">
      <c r="C9" s="657"/>
      <c r="Q9" s="156"/>
    </row>
    <row r="10" spans="1:17">
      <c r="Q10" s="156"/>
    </row>
    <row r="11" spans="1:17" ht="18">
      <c r="B11" s="658" t="s">
        <v>461</v>
      </c>
      <c r="C11" s="1536" t="str">
        <f>"Calculate Return and Income Taxes with "&amp;F17&amp;" basis point ROE increase for Projects Qualified for Regional Billing."</f>
        <v>Calculate Return and Income Taxes with 0 basis point ROE increase for Projects Qualified for Regional Billing.</v>
      </c>
      <c r="D11" s="1537"/>
      <c r="E11" s="1537"/>
      <c r="F11" s="1537"/>
      <c r="G11" s="1537"/>
      <c r="H11" s="1537"/>
      <c r="I11" s="1537"/>
      <c r="Q11" s="156"/>
    </row>
    <row r="12" spans="1:17" ht="18.75" customHeight="1">
      <c r="C12" s="1537"/>
      <c r="D12" s="1537"/>
      <c r="E12" s="1537"/>
      <c r="F12" s="1537"/>
      <c r="G12" s="1537"/>
      <c r="H12" s="1537"/>
      <c r="I12" s="1537"/>
      <c r="Q12" s="156"/>
    </row>
    <row r="13" spans="1:17" ht="15.75" customHeight="1">
      <c r="C13" s="659"/>
      <c r="D13" s="659"/>
      <c r="E13" s="659"/>
      <c r="F13" s="659"/>
      <c r="G13" s="659"/>
      <c r="H13" s="659"/>
      <c r="I13" s="659"/>
      <c r="Q13" s="156"/>
    </row>
    <row r="14" spans="1:17" ht="15.75">
      <c r="C14" s="660" t="str">
        <f>"A.   Determine 'R' with hypothetical "&amp;F17&amp;" basis point increase in ROE for Identified Projects"</f>
        <v>A.   Determine 'R' with hypothetical 0 basis point increase in ROE for Identified Projects</v>
      </c>
      <c r="D14" s="220"/>
      <c r="Q14" s="156"/>
    </row>
    <row r="15" spans="1:17">
      <c r="C15" s="209"/>
      <c r="D15" s="220"/>
      <c r="Q15" s="156"/>
    </row>
    <row r="16" spans="1:17">
      <c r="C16" s="661" t="str">
        <f>"   ROE w/o incentives  (TCOS, ln "&amp;TCOS!B235&amp;")"</f>
        <v xml:space="preserve">   ROE w/o incentives  (TCOS, ln 138)</v>
      </c>
      <c r="D16" s="220"/>
      <c r="E16" s="662"/>
      <c r="F16" s="815">
        <f>TCOS!J235</f>
        <v>0.10349999999999999</v>
      </c>
      <c r="G16" s="815"/>
      <c r="H16" s="662"/>
      <c r="I16" s="664"/>
      <c r="J16" s="664"/>
      <c r="K16" s="665"/>
      <c r="L16" s="664"/>
      <c r="M16" s="664"/>
      <c r="N16" s="664"/>
      <c r="O16" s="664"/>
      <c r="P16" s="664"/>
      <c r="Q16" s="665"/>
    </row>
    <row r="17" spans="3:17" ht="13.5" thickBot="1">
      <c r="C17" s="661" t="s">
        <v>43</v>
      </c>
      <c r="D17" s="220"/>
      <c r="E17" s="662"/>
      <c r="F17" s="806">
        <v>0</v>
      </c>
      <c r="G17" s="662"/>
      <c r="H17" s="662"/>
      <c r="I17" s="664"/>
      <c r="J17" s="664"/>
      <c r="K17" s="665"/>
      <c r="L17" s="664"/>
      <c r="M17" s="664"/>
      <c r="N17" s="664"/>
      <c r="O17" s="664"/>
      <c r="P17" s="664"/>
    </row>
    <row r="18" spans="3:17">
      <c r="C18" s="661" t="str">
        <f>"   ROE with additional "&amp;F17&amp;" basis point incentive"</f>
        <v xml:space="preserve">   ROE with additional 0 basis point incentive</v>
      </c>
      <c r="D18" s="662"/>
      <c r="E18" s="662"/>
      <c r="F18" s="667">
        <f>IF((F16+(F17/10000)&gt;0.125),"ERROR",F16+(F17/10000))</f>
        <v>0.10349999999999999</v>
      </c>
      <c r="G18" s="668"/>
      <c r="H18" s="662"/>
      <c r="I18" s="664"/>
      <c r="J18" s="664"/>
      <c r="K18" s="665"/>
      <c r="L18" s="816" t="s">
        <v>234</v>
      </c>
      <c r="M18" s="817"/>
      <c r="N18" s="817"/>
      <c r="O18" s="817"/>
      <c r="P18" s="818"/>
    </row>
    <row r="19" spans="3:17">
      <c r="C19" s="661" t="str">
        <f>"   Determine R  ( cost of long term debt, cost of preferred stock and equity percentage is from the True-Up TCOS, lns "&amp;TCOS!B233&amp;" through "&amp;TCOS!B235&amp;")"</f>
        <v xml:space="preserve">   Determine R  ( cost of long term debt, cost of preferred stock and equity percentage is from the True-Up TCOS, lns 136 through 138)</v>
      </c>
      <c r="D19" s="220"/>
      <c r="E19" s="662"/>
      <c r="F19" s="669"/>
      <c r="G19" s="669"/>
      <c r="H19" s="662"/>
      <c r="I19" s="664"/>
      <c r="J19" s="664"/>
      <c r="K19" s="665"/>
      <c r="L19" s="819"/>
      <c r="M19" s="665"/>
      <c r="N19" s="665" t="s">
        <v>45</v>
      </c>
      <c r="O19" s="665" t="s">
        <v>46</v>
      </c>
      <c r="P19" s="820" t="s">
        <v>47</v>
      </c>
    </row>
    <row r="20" spans="3:17">
      <c r="C20" s="665"/>
      <c r="D20" s="670" t="s">
        <v>436</v>
      </c>
      <c r="E20" s="670" t="s">
        <v>435</v>
      </c>
      <c r="F20" s="671" t="s">
        <v>44</v>
      </c>
      <c r="G20" s="671"/>
      <c r="H20" s="662"/>
      <c r="I20" s="664"/>
      <c r="J20" s="664"/>
      <c r="K20" s="665"/>
      <c r="L20" s="819" t="s">
        <v>232</v>
      </c>
      <c r="M20" s="821" t="str">
        <f>+TCOS!O3</f>
        <v xml:space="preserve"> </v>
      </c>
      <c r="N20" s="426"/>
      <c r="O20" s="426"/>
      <c r="P20" s="822"/>
    </row>
    <row r="21" spans="3:17">
      <c r="C21" s="672" t="s">
        <v>48</v>
      </c>
      <c r="D21" s="823">
        <f>TCOS!I233</f>
        <v>0.49421038830199421</v>
      </c>
      <c r="E21" s="674">
        <f>TCOS!J233</f>
        <v>3.7275577557755776E-2</v>
      </c>
      <c r="F21" s="675">
        <f>E21*D21</f>
        <v>1.8421977658999583E-2</v>
      </c>
      <c r="G21" s="675"/>
      <c r="H21" s="662"/>
      <c r="I21" s="664"/>
      <c r="J21" s="676"/>
      <c r="K21" s="677"/>
      <c r="L21" s="824"/>
      <c r="M21" s="766" t="s">
        <v>233</v>
      </c>
      <c r="N21" s="956" t="e">
        <f>+M88+#REF!+#REF!+#REF!+#REF!+#REF!+#REF!+#REF!</f>
        <v>#N/A</v>
      </c>
      <c r="O21" s="956" t="e">
        <f>+N88+#REF!+#REF!+#REF!+#REF!+#REF!+#REF!+#REF!</f>
        <v>#N/A</v>
      </c>
      <c r="P21" s="825" t="e">
        <f>+O21-N21</f>
        <v>#N/A</v>
      </c>
    </row>
    <row r="22" spans="3:17" ht="13.5" thickBot="1">
      <c r="C22" s="672" t="s">
        <v>49</v>
      </c>
      <c r="D22" s="823">
        <f>TCOS!I234</f>
        <v>0</v>
      </c>
      <c r="E22" s="674">
        <f>TCOS!J234</f>
        <v>0</v>
      </c>
      <c r="F22" s="675">
        <f>E22*D22</f>
        <v>0</v>
      </c>
      <c r="G22" s="675"/>
      <c r="H22" s="678"/>
      <c r="I22" s="678"/>
      <c r="J22" s="679"/>
      <c r="K22" s="680"/>
      <c r="L22" s="824"/>
      <c r="M22" s="766" t="s">
        <v>618</v>
      </c>
      <c r="N22" s="957" t="e">
        <f>M89+#REF!+#REF!+#REF!+#REF!+#REF!+#REF!+#REF!+#REF!</f>
        <v>#N/A</v>
      </c>
      <c r="O22" s="957" t="e">
        <f>N89+#REF!+#REF!+#REF!+#REF!+#REF!+#REF!+#REF!+#REF!</f>
        <v>#N/A</v>
      </c>
      <c r="P22" s="826" t="e">
        <f>+O22-N22</f>
        <v>#N/A</v>
      </c>
      <c r="Q22" s="680"/>
    </row>
    <row r="23" spans="3:17">
      <c r="C23" s="681" t="s">
        <v>29</v>
      </c>
      <c r="D23" s="823">
        <f>TCOS!I235</f>
        <v>0.50578961169800585</v>
      </c>
      <c r="E23" s="674">
        <f>+F18</f>
        <v>0.10349999999999999</v>
      </c>
      <c r="F23" s="682">
        <f>E23*D23</f>
        <v>5.2349224810743604E-2</v>
      </c>
      <c r="G23" s="682"/>
      <c r="H23" s="678"/>
      <c r="I23" s="678"/>
      <c r="J23" s="679"/>
      <c r="K23" s="680"/>
      <c r="L23" s="824"/>
      <c r="M23" s="766" t="str">
        <f>"True-up of ARR For "&amp;TCOS!L4&amp;""</f>
        <v>True-up of ARR For 2025</v>
      </c>
      <c r="N23" s="737" t="e">
        <f>+N22-N21</f>
        <v>#N/A</v>
      </c>
      <c r="O23" s="737" t="e">
        <f>+O22-O21</f>
        <v>#N/A</v>
      </c>
      <c r="P23" s="827" t="e">
        <f>+P22-P21</f>
        <v>#N/A</v>
      </c>
      <c r="Q23" s="680"/>
    </row>
    <row r="24" spans="3:17">
      <c r="C24" s="661"/>
      <c r="D24" s="173"/>
      <c r="E24" s="683" t="s">
        <v>50</v>
      </c>
      <c r="F24" s="675">
        <f>SUM(F21:F23)</f>
        <v>7.0771202469743194E-2</v>
      </c>
      <c r="G24" s="675"/>
      <c r="H24" s="678"/>
      <c r="I24" s="678"/>
      <c r="J24" s="679"/>
      <c r="K24" s="680"/>
      <c r="L24" s="824"/>
      <c r="M24" s="426"/>
      <c r="N24" s="426"/>
      <c r="O24" s="426"/>
      <c r="P24" s="822"/>
      <c r="Q24" s="680"/>
    </row>
    <row r="25" spans="3:17" ht="13.5" thickBot="1">
      <c r="C25" s="209"/>
      <c r="D25" s="688"/>
      <c r="E25" s="688"/>
      <c r="F25" s="678"/>
      <c r="G25" s="678"/>
      <c r="H25" s="678"/>
      <c r="I25" s="678"/>
      <c r="J25" s="678"/>
      <c r="K25" s="689"/>
      <c r="L25" s="828"/>
      <c r="M25" s="829"/>
      <c r="N25" s="830"/>
      <c r="O25" s="830"/>
      <c r="P25" s="826"/>
      <c r="Q25" s="689"/>
    </row>
    <row r="26" spans="3:17" ht="15.75">
      <c r="C26" s="660" t="str">
        <f>"B.   Determine Return using 'R' with hypothetical "&amp;F17&amp;" basis point ROE increase for Identified Projects."</f>
        <v>B.   Determine Return using 'R' with hypothetical 0 basis point ROE increase for Identified Projects.</v>
      </c>
      <c r="D26" s="688"/>
      <c r="E26" s="688"/>
      <c r="F26" s="693"/>
      <c r="G26" s="693"/>
      <c r="H26" s="678"/>
      <c r="I26" s="662"/>
      <c r="J26" s="678"/>
      <c r="K26" s="689"/>
      <c r="L26" s="678"/>
      <c r="M26" s="678"/>
      <c r="N26" s="678"/>
      <c r="O26" s="678"/>
      <c r="P26" s="678"/>
      <c r="Q26" s="689"/>
    </row>
    <row r="27" spans="3:17">
      <c r="C27" s="665"/>
      <c r="D27" s="688"/>
      <c r="E27" s="688"/>
      <c r="F27" s="689"/>
      <c r="G27" s="689"/>
      <c r="H27" s="689"/>
      <c r="I27" s="689"/>
      <c r="J27" s="689"/>
      <c r="K27" s="689"/>
      <c r="L27" s="689"/>
      <c r="M27" s="689"/>
      <c r="N27" s="689"/>
      <c r="O27" s="689"/>
      <c r="P27" s="689"/>
      <c r="Q27" s="689"/>
    </row>
    <row r="28" spans="3:17">
      <c r="C28" s="661" t="str">
        <f>"   Rate Base  (True-Up TCOS, ln "&amp;TCOS!B112&amp;")"</f>
        <v xml:space="preserve">   Rate Base  (True-Up TCOS, ln 58)</v>
      </c>
      <c r="D28" s="662"/>
      <c r="E28" s="699">
        <f>TCOS!L112</f>
        <v>130058393.81921667</v>
      </c>
      <c r="F28" s="831"/>
      <c r="G28" s="831"/>
      <c r="H28" s="689"/>
      <c r="I28" s="689"/>
      <c r="J28" s="689"/>
      <c r="K28" s="689"/>
      <c r="L28" s="689"/>
      <c r="M28" s="689"/>
      <c r="N28" s="689"/>
      <c r="O28" s="689"/>
      <c r="P28" s="831"/>
      <c r="Q28" s="689"/>
    </row>
    <row r="29" spans="3:17">
      <c r="C29" s="665" t="s">
        <v>52</v>
      </c>
      <c r="D29" s="701"/>
      <c r="E29" s="675">
        <f>F24</f>
        <v>7.0771202469743194E-2</v>
      </c>
      <c r="F29" s="689"/>
      <c r="G29" s="689"/>
      <c r="H29" s="689"/>
      <c r="I29" s="689"/>
      <c r="J29" s="689"/>
      <c r="K29" s="689"/>
      <c r="L29" s="689"/>
      <c r="M29" s="689"/>
      <c r="N29" s="689"/>
      <c r="O29" s="689"/>
      <c r="P29" s="689"/>
      <c r="Q29" s="689"/>
    </row>
    <row r="30" spans="3:17">
      <c r="C30" s="702" t="s">
        <v>53</v>
      </c>
      <c r="D30" s="702"/>
      <c r="E30" s="679">
        <f>E28*E29</f>
        <v>9204388.9218693804</v>
      </c>
      <c r="F30" s="689"/>
      <c r="G30" s="689"/>
      <c r="H30" s="689"/>
      <c r="I30" s="689"/>
      <c r="J30" s="680"/>
      <c r="K30" s="680"/>
      <c r="L30" s="680"/>
      <c r="M30" s="680"/>
      <c r="N30" s="680"/>
      <c r="O30" s="680"/>
      <c r="P30" s="689"/>
      <c r="Q30" s="680"/>
    </row>
    <row r="31" spans="3:17">
      <c r="C31" s="703"/>
      <c r="D31" s="664"/>
      <c r="E31" s="664"/>
      <c r="F31" s="689"/>
      <c r="G31" s="689"/>
      <c r="H31" s="689"/>
      <c r="I31" s="689"/>
      <c r="J31" s="680"/>
      <c r="K31" s="680"/>
      <c r="L31" s="680"/>
      <c r="M31" s="680"/>
      <c r="N31" s="680"/>
      <c r="O31" s="680"/>
      <c r="P31" s="689"/>
      <c r="Q31" s="680"/>
    </row>
    <row r="32" spans="3:17" ht="15.75">
      <c r="C32" s="660" t="str">
        <f>"C.   Determine Income Taxes using Return with hypothetical "&amp;F17&amp;" basis point ROE increase for Identified Projects."</f>
        <v>C.   Determine Income Taxes using Return with hypothetical 0 basis point ROE increase for Identified Projects.</v>
      </c>
      <c r="D32" s="704"/>
      <c r="E32" s="704"/>
      <c r="F32" s="705"/>
      <c r="G32" s="705"/>
      <c r="H32" s="705"/>
      <c r="I32" s="705"/>
      <c r="J32" s="706"/>
      <c r="K32" s="706"/>
      <c r="L32" s="706"/>
      <c r="M32" s="706"/>
      <c r="N32" s="706"/>
      <c r="O32" s="706"/>
      <c r="P32" s="705"/>
      <c r="Q32" s="706"/>
    </row>
    <row r="33" spans="2:17">
      <c r="C33" s="661"/>
      <c r="D33" s="664"/>
      <c r="E33" s="664"/>
      <c r="F33" s="689"/>
      <c r="G33" s="689"/>
      <c r="H33" s="689"/>
      <c r="I33" s="689"/>
      <c r="J33" s="680"/>
      <c r="K33" s="680"/>
      <c r="L33" s="680"/>
      <c r="M33" s="680"/>
      <c r="N33" s="680"/>
      <c r="O33" s="680"/>
      <c r="P33" s="689"/>
      <c r="Q33" s="680"/>
    </row>
    <row r="34" spans="2:17">
      <c r="C34" s="665" t="s">
        <v>54</v>
      </c>
      <c r="D34" s="683"/>
      <c r="E34" s="707">
        <f>E30</f>
        <v>9204388.9218693804</v>
      </c>
      <c r="F34" s="689"/>
      <c r="G34" s="689"/>
      <c r="H34" s="689"/>
      <c r="I34" s="689"/>
      <c r="J34" s="689"/>
      <c r="K34" s="689"/>
      <c r="L34" s="689"/>
      <c r="M34" s="689"/>
      <c r="N34" s="689"/>
      <c r="O34" s="689"/>
      <c r="P34" s="689"/>
      <c r="Q34" s="689"/>
    </row>
    <row r="35" spans="2:17">
      <c r="C35" s="661" t="str">
        <f>"   Effective Tax Rate  (TCOS, ln "&amp;TCOS!B170&amp;")"</f>
        <v xml:space="preserve">   Effective Tax Rate  (TCOS, ln 97)</v>
      </c>
      <c r="D35" s="539"/>
      <c r="E35" s="708">
        <f>TCOS!G170</f>
        <v>0.26182745893581627</v>
      </c>
      <c r="F35" s="314"/>
      <c r="G35" s="314"/>
      <c r="H35" s="314"/>
      <c r="I35" s="709"/>
      <c r="J35" s="314"/>
      <c r="K35" s="426"/>
      <c r="Q35" s="426"/>
    </row>
    <row r="36" spans="2:17">
      <c r="C36" s="703" t="s">
        <v>55</v>
      </c>
      <c r="D36" s="539"/>
      <c r="E36" s="710">
        <f>E34*E35</f>
        <v>2409961.7624700372</v>
      </c>
      <c r="F36" s="314"/>
      <c r="G36" s="314"/>
      <c r="H36" s="314"/>
      <c r="I36" s="709"/>
      <c r="J36" s="314"/>
      <c r="K36" s="426"/>
      <c r="Q36" s="426"/>
    </row>
    <row r="37" spans="2:17" ht="15">
      <c r="C37" s="661" t="s">
        <v>97</v>
      </c>
      <c r="D37" s="326"/>
      <c r="E37" s="711">
        <f>TCOS!L178</f>
        <v>0</v>
      </c>
      <c r="F37" s="326"/>
      <c r="G37" s="326"/>
      <c r="H37" s="326"/>
      <c r="I37" s="326"/>
      <c r="J37" s="326"/>
      <c r="K37" s="326"/>
      <c r="L37" s="326"/>
      <c r="M37" s="326"/>
      <c r="N37" s="326"/>
      <c r="O37" s="326"/>
      <c r="P37" s="231"/>
      <c r="Q37" s="326"/>
    </row>
    <row r="38" spans="2:17" ht="15">
      <c r="C38" s="661" t="s">
        <v>550</v>
      </c>
      <c r="D38" s="326"/>
      <c r="E38" s="711">
        <f>TCOS!L179</f>
        <v>1381.0452888076977</v>
      </c>
      <c r="F38" s="326"/>
      <c r="G38" s="326"/>
      <c r="H38" s="326"/>
      <c r="I38" s="326"/>
      <c r="J38" s="326"/>
      <c r="K38" s="326"/>
      <c r="L38" s="326"/>
      <c r="M38" s="326"/>
      <c r="N38" s="326"/>
      <c r="O38" s="326"/>
      <c r="P38" s="231"/>
      <c r="Q38" s="326"/>
    </row>
    <row r="39" spans="2:17" ht="15">
      <c r="C39" s="661" t="s">
        <v>552</v>
      </c>
      <c r="D39" s="326"/>
      <c r="E39" s="832">
        <f>TCOS!L180</f>
        <v>28523.14471547549</v>
      </c>
      <c r="F39" s="326"/>
      <c r="G39" s="326"/>
      <c r="H39" s="326"/>
      <c r="I39" s="326"/>
      <c r="J39" s="326"/>
      <c r="K39" s="326"/>
      <c r="L39" s="326"/>
      <c r="M39" s="326"/>
      <c r="N39" s="326"/>
      <c r="O39" s="326"/>
      <c r="P39" s="231"/>
      <c r="Q39" s="326"/>
    </row>
    <row r="40" spans="2:17" ht="15">
      <c r="C40" s="703" t="s">
        <v>56</v>
      </c>
      <c r="D40" s="326"/>
      <c r="E40" s="711">
        <f>E36+E37+E38+E39</f>
        <v>2439865.9524743203</v>
      </c>
      <c r="F40" s="326"/>
      <c r="G40" s="326"/>
      <c r="H40" s="326"/>
      <c r="I40" s="326"/>
      <c r="J40" s="326"/>
      <c r="K40" s="326"/>
      <c r="L40" s="326"/>
      <c r="M40" s="326"/>
      <c r="N40" s="326"/>
      <c r="O40" s="326"/>
      <c r="P40" s="189"/>
      <c r="Q40" s="326"/>
    </row>
    <row r="41" spans="2:17" ht="12.75" customHeight="1">
      <c r="C41" s="240"/>
      <c r="D41" s="326"/>
      <c r="E41" s="326"/>
      <c r="F41" s="326"/>
      <c r="G41" s="326"/>
      <c r="H41" s="326"/>
      <c r="I41" s="326"/>
      <c r="J41" s="326"/>
      <c r="K41" s="326"/>
      <c r="L41" s="326"/>
      <c r="M41" s="326"/>
      <c r="N41" s="326"/>
      <c r="O41" s="326"/>
      <c r="P41" s="189"/>
      <c r="Q41" s="326"/>
    </row>
    <row r="42" spans="2:17" ht="18.75">
      <c r="B42" s="658" t="s">
        <v>462</v>
      </c>
      <c r="C42" s="657" t="str">
        <f>"Calculate Net Plant Carrying Charge Rate (Fixed Charge Rate or FCR) with hypothetical "&amp;F17&amp;""</f>
        <v>Calculate Net Plant Carrying Charge Rate (Fixed Charge Rate or FCR) with hypothetical 0</v>
      </c>
      <c r="D42" s="326"/>
      <c r="E42" s="326"/>
      <c r="F42" s="326"/>
      <c r="G42" s="326"/>
      <c r="H42" s="326"/>
      <c r="I42" s="326"/>
      <c r="J42" s="326"/>
      <c r="K42" s="326"/>
      <c r="L42" s="326"/>
      <c r="M42" s="326"/>
      <c r="N42" s="326"/>
      <c r="O42" s="326"/>
      <c r="P42" s="189"/>
      <c r="Q42" s="326"/>
    </row>
    <row r="43" spans="2:17" ht="18.75" customHeight="1">
      <c r="C43" s="657" t="str">
        <f>"basis point ROE increase."</f>
        <v>basis point ROE increase.</v>
      </c>
      <c r="D43" s="326"/>
      <c r="E43" s="326"/>
      <c r="F43" s="326"/>
      <c r="G43" s="326"/>
      <c r="H43" s="326"/>
      <c r="I43" s="326"/>
      <c r="J43" s="326"/>
      <c r="K43" s="326"/>
      <c r="L43" s="326"/>
      <c r="M43" s="326"/>
      <c r="N43" s="326"/>
      <c r="O43" s="326"/>
      <c r="P43" s="189"/>
      <c r="Q43" s="326"/>
    </row>
    <row r="44" spans="2:17" ht="12.75" customHeight="1">
      <c r="C44" s="657"/>
      <c r="D44" s="326"/>
      <c r="E44" s="326"/>
      <c r="F44" s="326"/>
      <c r="G44" s="326"/>
      <c r="H44" s="326"/>
      <c r="I44" s="326"/>
      <c r="J44" s="326"/>
      <c r="K44" s="326"/>
      <c r="L44" s="326"/>
      <c r="M44" s="326"/>
      <c r="N44" s="326"/>
      <c r="O44" s="326"/>
      <c r="P44" s="189"/>
      <c r="Q44" s="326"/>
    </row>
    <row r="45" spans="2:17" ht="15.75">
      <c r="C45" s="660" t="s">
        <v>253</v>
      </c>
      <c r="D45" s="326"/>
      <c r="E45" s="326"/>
      <c r="F45" s="325"/>
      <c r="G45" s="325"/>
      <c r="H45" s="326"/>
      <c r="I45" s="326"/>
      <c r="J45" s="326"/>
      <c r="K45" s="326"/>
      <c r="L45" s="326"/>
      <c r="M45" s="326"/>
      <c r="N45" s="326"/>
      <c r="O45" s="326"/>
      <c r="P45" s="189"/>
      <c r="Q45" s="326"/>
    </row>
    <row r="46" spans="2:17">
      <c r="B46" s="348"/>
      <c r="C46" s="713"/>
      <c r="D46" s="714"/>
      <c r="E46" s="714"/>
      <c r="F46" s="714"/>
      <c r="G46" s="714"/>
      <c r="H46" s="714"/>
      <c r="I46" s="714"/>
      <c r="J46" s="714"/>
      <c r="K46" s="714"/>
      <c r="L46" s="714"/>
      <c r="M46" s="714"/>
      <c r="N46" s="714"/>
      <c r="O46" s="714"/>
      <c r="P46" s="711"/>
      <c r="Q46" s="714"/>
    </row>
    <row r="47" spans="2:17" ht="12.75" customHeight="1">
      <c r="B47" s="348"/>
      <c r="C47" s="661" t="str">
        <f>"   Annual Revenue Requirement  (TCOS, ln "&amp;TCOS!B13&amp;")"</f>
        <v xml:space="preserve">   Annual Revenue Requirement  (TCOS, ln 1)</v>
      </c>
      <c r="D47" s="714"/>
      <c r="E47" s="714"/>
      <c r="F47" s="711">
        <f>TCOS!L13</f>
        <v>20966885.169530723</v>
      </c>
      <c r="G47" s="711"/>
      <c r="H47" s="833" t="s">
        <v>406</v>
      </c>
      <c r="I47" s="714"/>
      <c r="J47" s="714"/>
      <c r="K47" s="714"/>
      <c r="L47" s="714"/>
      <c r="M47" s="714"/>
      <c r="N47" s="714"/>
      <c r="O47" s="714"/>
      <c r="P47" s="711"/>
      <c r="Q47" s="714"/>
    </row>
    <row r="48" spans="2:17" ht="12.75" customHeight="1">
      <c r="B48" s="348"/>
      <c r="C48" s="715" t="str">
        <f>"   Lease Payments (TCOS, Lns "&amp;TCOS!B150&amp;")"</f>
        <v xml:space="preserve">   Lease Payments (TCOS, Lns 80)</v>
      </c>
      <c r="D48" s="714"/>
      <c r="E48" s="714"/>
      <c r="F48" s="711">
        <f>TCOS!L150</f>
        <v>0</v>
      </c>
      <c r="G48" s="711"/>
      <c r="H48" s="833"/>
      <c r="I48" s="714"/>
      <c r="J48" s="714"/>
      <c r="K48" s="714"/>
      <c r="L48" s="714"/>
      <c r="M48" s="714"/>
      <c r="N48" s="714"/>
      <c r="O48" s="714"/>
      <c r="P48" s="711"/>
      <c r="Q48" s="714"/>
    </row>
    <row r="49" spans="2:17">
      <c r="B49" s="348"/>
      <c r="C49" s="661" t="str">
        <f>"   Return  (TCOS, ln "&amp;TCOS!B183&amp;")"</f>
        <v xml:space="preserve">   Return  (TCOS, ln 109)</v>
      </c>
      <c r="D49" s="714"/>
      <c r="E49" s="714"/>
      <c r="F49" s="716">
        <f>TCOS!L183</f>
        <v>9204388.9218693804</v>
      </c>
      <c r="G49" s="716"/>
      <c r="H49" s="717"/>
      <c r="I49" s="717"/>
      <c r="J49" s="717"/>
      <c r="K49" s="717"/>
      <c r="L49" s="717"/>
      <c r="M49" s="717"/>
      <c r="N49" s="717"/>
      <c r="O49" s="717"/>
      <c r="P49" s="711"/>
      <c r="Q49" s="717"/>
    </row>
    <row r="50" spans="2:17">
      <c r="B50" s="348"/>
      <c r="C50" s="661" t="str">
        <f>"   Income Taxes  (TCOS, ln "&amp;TCOS!B181&amp;")"</f>
        <v xml:space="preserve">   Income Taxes  (TCOS, ln 108)</v>
      </c>
      <c r="D50" s="714"/>
      <c r="E50" s="714"/>
      <c r="F50" s="718">
        <f>TCOS!L181</f>
        <v>2439865.9524743203</v>
      </c>
      <c r="G50" s="718"/>
      <c r="H50" s="714"/>
      <c r="I50" s="714"/>
      <c r="J50" s="719"/>
      <c r="K50" s="719"/>
      <c r="L50" s="719"/>
      <c r="M50" s="719"/>
      <c r="N50" s="719"/>
      <c r="O50" s="719"/>
      <c r="P50" s="714"/>
      <c r="Q50" s="719"/>
    </row>
    <row r="51" spans="2:17">
      <c r="B51" s="348"/>
      <c r="C51" s="1545" t="s">
        <v>619</v>
      </c>
      <c r="D51" s="1546"/>
      <c r="E51" s="714"/>
      <c r="F51" s="716">
        <f>F47-F49-F50-F48</f>
        <v>9322630.2951870225</v>
      </c>
      <c r="G51" s="716"/>
      <c r="H51" s="720"/>
      <c r="I51" s="714"/>
      <c r="J51" s="720"/>
      <c r="K51" s="720"/>
      <c r="L51" s="720"/>
      <c r="M51" s="720"/>
      <c r="N51" s="720"/>
      <c r="O51" s="720"/>
      <c r="P51" s="720"/>
      <c r="Q51" s="720"/>
    </row>
    <row r="52" spans="2:17">
      <c r="B52" s="348"/>
      <c r="C52" s="1546"/>
      <c r="D52" s="1546"/>
      <c r="E52" s="714"/>
      <c r="F52" s="711"/>
      <c r="G52" s="711"/>
      <c r="H52" s="721"/>
      <c r="I52" s="722"/>
      <c r="J52" s="722"/>
      <c r="K52" s="722"/>
      <c r="L52" s="722"/>
      <c r="M52" s="722"/>
      <c r="N52" s="722"/>
      <c r="O52" s="722"/>
      <c r="P52" s="722"/>
      <c r="Q52" s="722"/>
    </row>
    <row r="53" spans="2:17" ht="15.75">
      <c r="B53" s="348"/>
      <c r="C53" s="660" t="str">
        <f>"B.   Determine Annual Revenue Requirement with hypothetical "&amp;F17&amp;" basis point increase in ROE."</f>
        <v>B.   Determine Annual Revenue Requirement with hypothetical 0 basis point increase in ROE.</v>
      </c>
      <c r="D53" s="723"/>
      <c r="E53" s="723"/>
      <c r="F53" s="711"/>
      <c r="G53" s="711"/>
      <c r="H53" s="721"/>
      <c r="I53" s="722"/>
      <c r="J53" s="722"/>
      <c r="K53" s="722"/>
      <c r="L53" s="722"/>
      <c r="M53" s="722"/>
      <c r="N53" s="722"/>
      <c r="O53" s="722"/>
      <c r="P53" s="722"/>
      <c r="Q53" s="722"/>
    </row>
    <row r="54" spans="2:17">
      <c r="B54" s="348"/>
      <c r="C54" s="713"/>
      <c r="D54" s="723"/>
      <c r="E54" s="723"/>
      <c r="F54" s="711"/>
      <c r="G54" s="711"/>
      <c r="H54" s="721"/>
      <c r="I54" s="722"/>
      <c r="J54" s="722"/>
      <c r="K54" s="722"/>
      <c r="L54" s="722"/>
      <c r="M54" s="722"/>
      <c r="N54" s="722"/>
      <c r="O54" s="722"/>
      <c r="P54" s="722"/>
      <c r="Q54" s="722"/>
    </row>
    <row r="55" spans="2:17">
      <c r="B55" s="348"/>
      <c r="C55" s="715" t="str">
        <f>C51</f>
        <v xml:space="preserve">   Annual Revenue Requirement, Less Lease Payments, Return and Taxes</v>
      </c>
      <c r="D55" s="723"/>
      <c r="E55" s="723"/>
      <c r="F55" s="711">
        <f>F51</f>
        <v>9322630.2951870225</v>
      </c>
      <c r="G55" s="711"/>
      <c r="H55" s="714"/>
      <c r="I55" s="714"/>
      <c r="J55" s="714"/>
      <c r="K55" s="714"/>
      <c r="L55" s="714"/>
      <c r="M55" s="714"/>
      <c r="N55" s="714"/>
      <c r="O55" s="714"/>
      <c r="P55" s="724"/>
      <c r="Q55" s="714"/>
    </row>
    <row r="56" spans="2:17">
      <c r="B56" s="348"/>
      <c r="C56" s="665" t="s">
        <v>94</v>
      </c>
      <c r="D56" s="725"/>
      <c r="E56" s="726"/>
      <c r="F56" s="727">
        <f>E30</f>
        <v>9204388.9218693804</v>
      </c>
      <c r="G56" s="727"/>
      <c r="H56" s="726"/>
      <c r="I56" s="834"/>
      <c r="J56" s="726"/>
      <c r="K56" s="726"/>
      <c r="L56" s="726"/>
      <c r="M56" s="726"/>
      <c r="N56" s="726"/>
      <c r="O56" s="726"/>
      <c r="P56" s="726"/>
      <c r="Q56" s="726"/>
    </row>
    <row r="57" spans="2:17" ht="12.75" customHeight="1">
      <c r="B57" s="348"/>
      <c r="C57" s="661" t="s">
        <v>62</v>
      </c>
      <c r="D57" s="714"/>
      <c r="E57" s="714"/>
      <c r="F57" s="718">
        <f>E40</f>
        <v>2439865.9524743203</v>
      </c>
      <c r="G57" s="718"/>
      <c r="H57" s="314"/>
      <c r="I57" s="709"/>
      <c r="J57" s="314"/>
      <c r="K57" s="426"/>
      <c r="Q57" s="426"/>
    </row>
    <row r="58" spans="2:17">
      <c r="B58" s="348"/>
      <c r="C58" s="726" t="str">
        <f>"   Annual Revenue Requirement, with "&amp;F17&amp;" Basis Point ROE increase"</f>
        <v xml:space="preserve">   Annual Revenue Requirement, with 0 Basis Point ROE increase</v>
      </c>
      <c r="D58" s="539"/>
      <c r="E58" s="314"/>
      <c r="F58" s="710">
        <f>SUM(F55:F57)</f>
        <v>20966885.16953072</v>
      </c>
      <c r="G58" s="710"/>
      <c r="H58" s="314"/>
      <c r="I58" s="709"/>
      <c r="J58" s="314"/>
      <c r="K58" s="426"/>
      <c r="Q58" s="426"/>
    </row>
    <row r="59" spans="2:17">
      <c r="B59" s="348"/>
      <c r="C59" s="661" t="str">
        <f>"   Depreciation  (TCOS, ln "&amp;TCOS!B154&amp;")"</f>
        <v xml:space="preserve">   Depreciation  (TCOS, ln 83)</v>
      </c>
      <c r="D59" s="539"/>
      <c r="E59" s="314"/>
      <c r="F59" s="728">
        <f>TCOS!L154</f>
        <v>4049576.4822283401</v>
      </c>
      <c r="G59" s="728"/>
      <c r="H59" s="710"/>
      <c r="I59" s="709"/>
      <c r="J59" s="314"/>
      <c r="K59" s="426"/>
      <c r="Q59" s="426"/>
    </row>
    <row r="60" spans="2:17">
      <c r="B60" s="348"/>
      <c r="C60" s="1547" t="str">
        <f>"   Annual Rev. Req, w/ "&amp;F17&amp;" Basis Point ROE increase, less Depreciation"</f>
        <v xml:space="preserve">   Annual Rev. Req, w/ 0 Basis Point ROE increase, less Depreciation</v>
      </c>
      <c r="D60" s="1537"/>
      <c r="E60" s="314"/>
      <c r="F60" s="710">
        <f>F58-F59</f>
        <v>16917308.687302381</v>
      </c>
      <c r="G60" s="710"/>
      <c r="H60" s="314"/>
      <c r="I60" s="709"/>
      <c r="J60" s="314"/>
      <c r="K60" s="426"/>
      <c r="Q60" s="426"/>
    </row>
    <row r="61" spans="2:17">
      <c r="B61" s="348"/>
      <c r="C61" s="1537"/>
      <c r="D61" s="1537"/>
      <c r="E61" s="314"/>
      <c r="F61" s="314"/>
      <c r="G61" s="314"/>
      <c r="H61" s="314"/>
      <c r="I61" s="709"/>
      <c r="J61" s="314"/>
      <c r="K61" s="426"/>
      <c r="Q61" s="426"/>
    </row>
    <row r="62" spans="2:17" ht="15.75">
      <c r="B62" s="348"/>
      <c r="C62" s="660" t="str">
        <f>"C.   Determine FCR with hypothetical "&amp;F17&amp;" basis point ROE increase."</f>
        <v>C.   Determine FCR with hypothetical 0 basis point ROE increase.</v>
      </c>
      <c r="D62" s="539"/>
      <c r="E62" s="314"/>
      <c r="F62" s="314"/>
      <c r="G62" s="314"/>
      <c r="H62" s="314"/>
      <c r="I62" s="709"/>
      <c r="J62" s="314"/>
      <c r="K62" s="426"/>
      <c r="Q62" s="426"/>
    </row>
    <row r="63" spans="2:17">
      <c r="B63" s="348"/>
      <c r="C63" s="314"/>
      <c r="D63" s="539"/>
      <c r="E63" s="314"/>
      <c r="F63" s="314"/>
      <c r="G63" s="314"/>
      <c r="H63" s="314"/>
      <c r="I63" s="709"/>
      <c r="J63" s="314"/>
      <c r="K63" s="426"/>
      <c r="Q63" s="426"/>
    </row>
    <row r="64" spans="2:17">
      <c r="B64" s="348"/>
      <c r="C64" s="661" t="str">
        <f>"   Net Transmission Plant  (Projected TCOS, ln "&amp;TCOS!B79&amp;")"</f>
        <v xml:space="preserve">   Net Transmission Plant  (Projected TCOS, ln 33)</v>
      </c>
      <c r="D64" s="539"/>
      <c r="E64" s="314"/>
      <c r="F64" s="710">
        <f>TCOS!L79</f>
        <v>135759268.2224353</v>
      </c>
      <c r="G64" s="710"/>
      <c r="H64" s="710"/>
      <c r="I64" s="835"/>
      <c r="J64" s="314"/>
      <c r="K64" s="426"/>
      <c r="Q64" s="426"/>
    </row>
    <row r="65" spans="2:17">
      <c r="B65" s="348"/>
      <c r="C65" s="726" t="str">
        <f>"   Annual Revenue Requirement, with "&amp;F17&amp;" Basis Point ROE increase"</f>
        <v xml:space="preserve">   Annual Revenue Requirement, with 0 Basis Point ROE increase</v>
      </c>
      <c r="D65" s="539"/>
      <c r="E65" s="314"/>
      <c r="F65" s="710">
        <f>F58</f>
        <v>20966885.16953072</v>
      </c>
      <c r="G65" s="710"/>
      <c r="H65" s="314"/>
      <c r="I65" s="709"/>
      <c r="J65" s="314"/>
      <c r="K65" s="426"/>
      <c r="Q65" s="426"/>
    </row>
    <row r="66" spans="2:17">
      <c r="B66" s="348"/>
      <c r="C66" s="726" t="str">
        <f>"   FCR with "&amp;F17&amp;" Basis Point increase in ROE"</f>
        <v xml:space="preserve">   FCR with 0 Basis Point increase in ROE</v>
      </c>
      <c r="D66" s="539"/>
      <c r="E66" s="314"/>
      <c r="F66" s="708">
        <f>IF(F64=0,0,F65/F64)</f>
        <v>0.15444164839764343</v>
      </c>
      <c r="G66" s="708"/>
      <c r="H66" s="708"/>
      <c r="I66" s="709"/>
      <c r="J66" s="314"/>
      <c r="K66" s="426"/>
      <c r="Q66" s="426"/>
    </row>
    <row r="67" spans="2:17">
      <c r="B67" s="348"/>
      <c r="C67" s="209"/>
      <c r="D67" s="539"/>
      <c r="E67" s="314"/>
      <c r="F67" s="348"/>
      <c r="G67" s="348"/>
      <c r="H67" s="314"/>
      <c r="I67" s="709"/>
      <c r="J67" s="314"/>
      <c r="K67" s="426"/>
      <c r="Q67" s="426"/>
    </row>
    <row r="68" spans="2:17">
      <c r="B68" s="348"/>
      <c r="C68" s="726" t="str">
        <f>"   Annual Rev. Req, w / "&amp;F17&amp;" Basis Point ROE increase, less Dep."</f>
        <v xml:space="preserve">   Annual Rev. Req, w / 0 Basis Point ROE increase, less Dep.</v>
      </c>
      <c r="D68" s="539"/>
      <c r="E68" s="314"/>
      <c r="F68" s="710">
        <f>F60</f>
        <v>16917308.687302381</v>
      </c>
      <c r="G68" s="710"/>
      <c r="H68" s="314"/>
      <c r="I68" s="709"/>
      <c r="J68" s="314"/>
      <c r="K68" s="426"/>
      <c r="Q68" s="426"/>
    </row>
    <row r="69" spans="2:17">
      <c r="B69" s="348"/>
      <c r="C69" s="726" t="str">
        <f>"   FCR with "&amp;F17&amp;" Basis Point ROE increase, less Depreciation"</f>
        <v xml:space="preserve">   FCR with 0 Basis Point ROE increase, less Depreciation</v>
      </c>
      <c r="D69" s="539"/>
      <c r="E69" s="314"/>
      <c r="F69" s="708">
        <f>IF(F68=0,0,F68/F64)</f>
        <v>0.12461255064799076</v>
      </c>
      <c r="G69" s="708"/>
      <c r="H69" s="314"/>
      <c r="I69" s="709"/>
      <c r="J69" s="314"/>
      <c r="K69" s="426"/>
      <c r="Q69" s="426"/>
    </row>
    <row r="70" spans="2:17">
      <c r="B70" s="348"/>
      <c r="C70" s="661" t="str">
        <f>"   FCR less Depreciation  (TCOS, ln "&amp;TCOS!B31&amp;")"</f>
        <v xml:space="preserve">   FCR less Depreciation  (TCOS, ln 10)</v>
      </c>
      <c r="D70" s="539"/>
      <c r="E70" s="314"/>
      <c r="F70" s="730">
        <f>TCOS!L31</f>
        <v>0.12461255064799079</v>
      </c>
      <c r="G70" s="730"/>
      <c r="H70" s="314"/>
      <c r="I70" s="709"/>
      <c r="J70" s="314"/>
      <c r="K70" s="426"/>
      <c r="Q70" s="426"/>
    </row>
    <row r="71" spans="2:17">
      <c r="B71" s="348"/>
      <c r="C71" s="1547" t="str">
        <f>"   Incremental FCR with "&amp;F17&amp;" Basis Point ROE increase, less Depreciation"</f>
        <v xml:space="preserve">   Incremental FCR with 0 Basis Point ROE increase, less Depreciation</v>
      </c>
      <c r="D71" s="1537"/>
      <c r="E71" s="314"/>
      <c r="F71" s="708">
        <f>F69-F70</f>
        <v>0</v>
      </c>
      <c r="G71" s="708"/>
      <c r="H71" s="314"/>
      <c r="I71" s="709"/>
      <c r="J71" s="314"/>
      <c r="K71" s="426"/>
      <c r="Q71" s="426"/>
    </row>
    <row r="72" spans="2:17">
      <c r="B72" s="348"/>
      <c r="C72" s="1537"/>
      <c r="D72" s="1537"/>
      <c r="E72" s="314"/>
      <c r="F72" s="708"/>
      <c r="G72" s="708"/>
      <c r="H72" s="314"/>
      <c r="I72" s="709"/>
      <c r="J72" s="314"/>
      <c r="K72" s="426"/>
      <c r="Q72" s="426"/>
    </row>
    <row r="73" spans="2:17" ht="18.75">
      <c r="B73" s="658" t="s">
        <v>463</v>
      </c>
      <c r="C73" s="657" t="s">
        <v>63</v>
      </c>
      <c r="D73" s="539"/>
      <c r="E73" s="314"/>
      <c r="F73" s="708"/>
      <c r="G73" s="708"/>
      <c r="H73" s="314"/>
      <c r="I73" s="709"/>
      <c r="J73" s="314"/>
      <c r="K73" s="426"/>
      <c r="Q73" s="426"/>
    </row>
    <row r="74" spans="2:17">
      <c r="B74" s="348"/>
      <c r="C74" s="726"/>
      <c r="D74" s="539"/>
      <c r="E74" s="314"/>
      <c r="F74" s="708"/>
      <c r="G74" s="708"/>
      <c r="H74" s="314"/>
      <c r="I74" s="709"/>
      <c r="J74" s="314"/>
      <c r="K74" s="426"/>
      <c r="Q74" s="426"/>
    </row>
    <row r="75" spans="2:17">
      <c r="B75" s="348"/>
      <c r="C75" s="726" t="str">
        <f>+"Average Transmission Plant Balance for "&amp;TCOS!L4&amp;" TCOS, ln "&amp;TCOS!B63</f>
        <v>Average Transmission Plant Balance for 2025 TCOS, ln 19</v>
      </c>
      <c r="D75" s="539"/>
      <c r="E75" s="314"/>
      <c r="F75" s="314"/>
      <c r="G75" s="314"/>
      <c r="H75" s="709">
        <f>TCOS!L63</f>
        <v>150942714.51016599</v>
      </c>
      <c r="J75" s="314"/>
      <c r="K75" s="426"/>
      <c r="Q75" s="426"/>
    </row>
    <row r="76" spans="2:17">
      <c r="B76" s="348"/>
      <c r="C76" s="726" t="str">
        <f>"Annual Depreciation and Amortization Expense (TCOS, ln "&amp;TCOS!B154&amp;")"</f>
        <v>Annual Depreciation and Amortization Expense (TCOS, ln 83)</v>
      </c>
      <c r="D76" s="539"/>
      <c r="E76" s="314"/>
      <c r="H76" s="489">
        <f>TCOS!L154</f>
        <v>4049576.4822283401</v>
      </c>
      <c r="I76" s="709"/>
      <c r="J76" s="314"/>
      <c r="K76" s="426"/>
      <c r="Q76" s="426"/>
    </row>
    <row r="77" spans="2:17">
      <c r="B77" s="348"/>
      <c r="C77" s="726" t="s">
        <v>64</v>
      </c>
      <c r="D77" s="539"/>
      <c r="E77" s="314"/>
      <c r="H77" s="903">
        <f>H76/H75</f>
        <v>2.6828565362494533E-2</v>
      </c>
      <c r="I77" s="732"/>
      <c r="J77" s="1538" t="str">
        <f>"Note 1:  Until "&amp;A6&amp;" establishes Transmission plant in service the depreciation expense component of the carrying charge will be calculated as in the Operating Company formula approved in Docket No. ER08-1329.  The calculation for "&amp;A6&amp;" is shown on Worksheet P."</f>
        <v>Note 1:  Until AEP Appalachian Transmission Company establishes Transmission plant in service the depreciation expense component of the carrying charge will be calculated as in the Operating Company formula approved in Docket No. ER08-1329.  The calculation for AEP Appalachian Transmission Company is shown on Worksheet P.</v>
      </c>
      <c r="K77" s="1538"/>
      <c r="L77" s="1538"/>
      <c r="M77" s="1538"/>
      <c r="N77" s="1538"/>
      <c r="O77" s="1538"/>
      <c r="P77" s="1538"/>
      <c r="Q77" s="659"/>
    </row>
    <row r="78" spans="2:17">
      <c r="B78" s="348"/>
      <c r="C78" s="726" t="s">
        <v>65</v>
      </c>
      <c r="D78" s="539"/>
      <c r="E78" s="314"/>
      <c r="H78" s="733">
        <f>IF(H77=0,0,1/H77)</f>
        <v>37.273703848434913</v>
      </c>
      <c r="I78" s="709"/>
      <c r="J78" s="1538"/>
      <c r="K78" s="1538"/>
      <c r="L78" s="1538"/>
      <c r="M78" s="1538"/>
      <c r="N78" s="1538"/>
      <c r="O78" s="1538"/>
      <c r="P78" s="1538"/>
      <c r="Q78" s="659"/>
    </row>
    <row r="79" spans="2:17">
      <c r="B79" s="348"/>
      <c r="C79" s="726" t="s">
        <v>588</v>
      </c>
      <c r="D79" s="539"/>
      <c r="E79" s="314"/>
      <c r="H79" s="735">
        <f>ROUND(H78,0)</f>
        <v>37</v>
      </c>
      <c r="I79" s="709"/>
      <c r="J79" s="1538"/>
      <c r="K79" s="1538"/>
      <c r="L79" s="1538"/>
      <c r="M79" s="1538"/>
      <c r="N79" s="1538"/>
      <c r="O79" s="1538"/>
      <c r="P79" s="1538"/>
      <c r="Q79" s="659"/>
    </row>
    <row r="80" spans="2:17">
      <c r="B80" s="348"/>
      <c r="C80" s="726"/>
      <c r="D80" s="539"/>
      <c r="E80" s="314"/>
      <c r="H80" s="735"/>
      <c r="I80" s="709"/>
      <c r="J80" s="1538"/>
      <c r="K80" s="1538"/>
      <c r="L80" s="1538"/>
      <c r="M80" s="1538"/>
      <c r="N80" s="1538"/>
      <c r="O80" s="1538"/>
      <c r="P80" s="1538"/>
    </row>
    <row r="81" spans="1:17" ht="20.25">
      <c r="A81" s="738" t="str">
        <f>""&amp;A6&amp;" Worksheet K -  ATRR TRUE-UP Calculation for PJM Projects Charged to Benefiting Zones"</f>
        <v>AEP Appalachian Transmission Company Worksheet K -  ATRR TRUE-UP Calculation for PJM Projects Charged to Benefiting Zones</v>
      </c>
      <c r="B81" s="348"/>
      <c r="C81" s="726"/>
      <c r="D81" s="539"/>
      <c r="E81" s="314"/>
      <c r="F81" s="708"/>
      <c r="G81" s="708"/>
      <c r="H81" s="314"/>
      <c r="I81" s="709"/>
      <c r="L81" s="565"/>
      <c r="M81" s="565"/>
      <c r="N81" s="565"/>
      <c r="O81" s="654" t="str">
        <f>"Page "&amp;SUM(Q$8:Q81)&amp;" of "</f>
        <v xml:space="preserve">Page 2 of </v>
      </c>
      <c r="P81" s="655">
        <f>COUNT(Q$8:Q$57702)</f>
        <v>2</v>
      </c>
      <c r="Q81" s="739">
        <v>1</v>
      </c>
    </row>
    <row r="82" spans="1:17">
      <c r="B82" s="348"/>
      <c r="C82" s="314"/>
      <c r="D82" s="539"/>
      <c r="E82" s="314"/>
      <c r="F82" s="314"/>
      <c r="G82" s="314"/>
      <c r="H82" s="314"/>
      <c r="I82" s="709"/>
      <c r="J82" s="314"/>
      <c r="K82" s="426"/>
    </row>
    <row r="83" spans="1:17" ht="18">
      <c r="B83" s="658" t="s">
        <v>464</v>
      </c>
      <c r="C83" s="740" t="s">
        <v>85</v>
      </c>
      <c r="D83" s="539"/>
      <c r="E83" s="314"/>
      <c r="F83" s="314"/>
      <c r="G83" s="314"/>
      <c r="H83" s="314"/>
      <c r="I83" s="709"/>
      <c r="J83" s="709"/>
      <c r="K83" s="731"/>
      <c r="L83" s="709"/>
      <c r="M83" s="709"/>
      <c r="N83" s="709"/>
      <c r="O83" s="709"/>
      <c r="Q83" s="426"/>
    </row>
    <row r="84" spans="1:17" ht="18.75">
      <c r="B84" s="658"/>
      <c r="C84" s="657"/>
      <c r="D84" s="539"/>
      <c r="E84" s="314"/>
      <c r="F84" s="314"/>
      <c r="G84" s="314"/>
      <c r="H84" s="314"/>
      <c r="I84" s="709"/>
      <c r="J84" s="709"/>
      <c r="K84" s="731"/>
      <c r="L84" s="709"/>
      <c r="M84" s="709"/>
      <c r="N84" s="709"/>
      <c r="O84" s="709"/>
    </row>
    <row r="85" spans="1:17" ht="18.75">
      <c r="B85" s="658"/>
      <c r="C85" s="657" t="s">
        <v>86</v>
      </c>
      <c r="D85" s="539"/>
      <c r="E85" s="314"/>
      <c r="F85" s="314"/>
      <c r="G85" s="314"/>
      <c r="H85" s="314"/>
      <c r="I85" s="709"/>
      <c r="J85" s="709"/>
      <c r="K85" s="731"/>
      <c r="L85" s="709"/>
      <c r="M85" s="709"/>
      <c r="N85" s="709"/>
      <c r="O85" s="709"/>
    </row>
    <row r="86" spans="1:17" ht="15.75" thickBot="1">
      <c r="C86" s="240"/>
      <c r="D86" s="539"/>
      <c r="E86" s="314"/>
      <c r="F86" s="314"/>
      <c r="G86" s="314"/>
      <c r="H86" s="314"/>
      <c r="I86" s="709"/>
      <c r="J86" s="709"/>
      <c r="K86" s="731"/>
      <c r="L86" s="709"/>
      <c r="M86" s="709"/>
      <c r="N86" s="709"/>
      <c r="O86" s="709"/>
    </row>
    <row r="87" spans="1:17" ht="15.75">
      <c r="C87" s="660" t="s">
        <v>87</v>
      </c>
      <c r="D87" s="539"/>
      <c r="E87" s="314"/>
      <c r="F87" s="314"/>
      <c r="G87" s="314"/>
      <c r="H87" s="807"/>
      <c r="I87" s="314" t="s">
        <v>66</v>
      </c>
      <c r="J87" s="314"/>
      <c r="K87" s="426"/>
      <c r="L87" s="836">
        <f>+J93</f>
        <v>2016</v>
      </c>
      <c r="M87" s="817" t="s">
        <v>45</v>
      </c>
      <c r="N87" s="817" t="s">
        <v>46</v>
      </c>
      <c r="O87" s="818" t="s">
        <v>47</v>
      </c>
    </row>
    <row r="88" spans="1:17" ht="15.75">
      <c r="C88" s="660"/>
      <c r="D88" s="539"/>
      <c r="E88" s="314"/>
      <c r="F88" s="314"/>
      <c r="H88" s="314"/>
      <c r="I88" s="745"/>
      <c r="J88" s="745"/>
      <c r="K88" s="746"/>
      <c r="L88" s="837" t="s">
        <v>235</v>
      </c>
      <c r="M88" s="838" t="e">
        <f>VLOOKUP(J93,C100:P159,10)</f>
        <v>#N/A</v>
      </c>
      <c r="N88" s="838" t="e">
        <f>VLOOKUP(J93,C100:P159,12)</f>
        <v>#N/A</v>
      </c>
      <c r="O88" s="839" t="e">
        <f>+N88-M88</f>
        <v>#N/A</v>
      </c>
    </row>
    <row r="89" spans="1:17">
      <c r="C89" s="750" t="s">
        <v>88</v>
      </c>
      <c r="D89" s="1533"/>
      <c r="E89" s="1533"/>
      <c r="F89" s="1533"/>
      <c r="G89" s="1533"/>
      <c r="H89" s="1533"/>
      <c r="I89" s="1533"/>
      <c r="J89" s="709"/>
      <c r="K89" s="731"/>
      <c r="L89" s="837" t="s">
        <v>236</v>
      </c>
      <c r="M89" s="840" t="e">
        <f>VLOOKUP(J93,C100:P159,6)</f>
        <v>#N/A</v>
      </c>
      <c r="N89" s="840" t="e">
        <f>VLOOKUP(J93,C100:P159,7)</f>
        <v>#N/A</v>
      </c>
      <c r="O89" s="841" t="e">
        <f>+N89-M89</f>
        <v>#N/A</v>
      </c>
    </row>
    <row r="90" spans="1:17" ht="13.5" thickBot="1">
      <c r="C90" s="754"/>
      <c r="D90" s="755"/>
      <c r="E90" s="735"/>
      <c r="F90" s="735"/>
      <c r="G90" s="735"/>
      <c r="H90" s="756"/>
      <c r="I90" s="709"/>
      <c r="J90" s="709"/>
      <c r="K90" s="731"/>
      <c r="L90" s="773" t="s">
        <v>237</v>
      </c>
      <c r="M90" s="842" t="e">
        <f>+M89-M88</f>
        <v>#N/A</v>
      </c>
      <c r="N90" s="842" t="e">
        <f>+N89-N88</f>
        <v>#N/A</v>
      </c>
      <c r="O90" s="843" t="e">
        <f>+O89-O88</f>
        <v>#N/A</v>
      </c>
    </row>
    <row r="91" spans="1:17" ht="13.5" thickBot="1">
      <c r="C91" s="757"/>
      <c r="D91" s="758"/>
      <c r="E91" s="756"/>
      <c r="F91" s="756"/>
      <c r="G91" s="756"/>
      <c r="H91" s="756"/>
      <c r="I91" s="756"/>
      <c r="J91" s="756"/>
      <c r="K91" s="759"/>
      <c r="L91" s="756"/>
      <c r="M91" s="756"/>
      <c r="N91" s="756"/>
      <c r="O91" s="756"/>
      <c r="P91" s="348"/>
    </row>
    <row r="92" spans="1:17" ht="13.5" thickBot="1">
      <c r="C92" s="760" t="s">
        <v>89</v>
      </c>
      <c r="D92" s="761"/>
      <c r="E92" s="761"/>
      <c r="F92" s="761"/>
      <c r="G92" s="761"/>
      <c r="H92" s="761"/>
      <c r="I92" s="761"/>
      <c r="J92" s="761"/>
      <c r="K92" s="763"/>
      <c r="P92" s="764"/>
    </row>
    <row r="93" spans="1:17" ht="15">
      <c r="C93" s="765" t="s">
        <v>67</v>
      </c>
      <c r="D93" s="809"/>
      <c r="E93" s="726" t="s">
        <v>68</v>
      </c>
      <c r="H93" s="766"/>
      <c r="I93" s="766"/>
      <c r="J93" s="767">
        <v>2016</v>
      </c>
      <c r="K93" s="555"/>
      <c r="L93" s="1535" t="s">
        <v>69</v>
      </c>
      <c r="M93" s="1535"/>
      <c r="N93" s="1535"/>
      <c r="O93" s="1535"/>
      <c r="P93" s="426"/>
    </row>
    <row r="94" spans="1:17">
      <c r="C94" s="765" t="s">
        <v>70</v>
      </c>
      <c r="D94" s="810"/>
      <c r="E94" s="765" t="s">
        <v>71</v>
      </c>
      <c r="F94" s="766"/>
      <c r="G94" s="766"/>
      <c r="I94" s="173"/>
      <c r="J94" s="811">
        <f>IF(H87="",0,$F$17)</f>
        <v>0</v>
      </c>
      <c r="K94" s="768"/>
      <c r="L94" s="731" t="s">
        <v>277</v>
      </c>
      <c r="P94" s="426"/>
    </row>
    <row r="95" spans="1:17">
      <c r="C95" s="765" t="s">
        <v>72</v>
      </c>
      <c r="D95" s="809"/>
      <c r="E95" s="765" t="s">
        <v>73</v>
      </c>
      <c r="F95" s="766"/>
      <c r="G95" s="766"/>
      <c r="I95" s="173"/>
      <c r="J95" s="769">
        <f>$F$70</f>
        <v>0.12461255064799079</v>
      </c>
      <c r="K95" s="770"/>
      <c r="L95" s="314" t="str">
        <f>"          INPUT TRUE-UP ARR (WITH &amp; WITHOUT INCENTIVES) FROM EACH PRIOR YEAR"</f>
        <v xml:space="preserve">          INPUT TRUE-UP ARR (WITH &amp; WITHOUT INCENTIVES) FROM EACH PRIOR YEAR</v>
      </c>
      <c r="P95" s="426"/>
    </row>
    <row r="96" spans="1:17">
      <c r="C96" s="765" t="s">
        <v>74</v>
      </c>
      <c r="D96" s="771">
        <f>H$79</f>
        <v>37</v>
      </c>
      <c r="E96" s="765" t="s">
        <v>75</v>
      </c>
      <c r="F96" s="766"/>
      <c r="G96" s="766"/>
      <c r="I96" s="173"/>
      <c r="J96" s="769">
        <f>IF(H87="",+J95,$F$69)</f>
        <v>0.12461255064799079</v>
      </c>
      <c r="K96" s="772"/>
      <c r="L96" s="314" t="s">
        <v>157</v>
      </c>
      <c r="M96" s="772"/>
      <c r="N96" s="772"/>
      <c r="O96" s="772"/>
      <c r="P96" s="426"/>
    </row>
    <row r="97" spans="2:16" ht="13.5" thickBot="1">
      <c r="C97" s="765" t="s">
        <v>76</v>
      </c>
      <c r="D97" s="808"/>
      <c r="E97" s="773" t="s">
        <v>77</v>
      </c>
      <c r="F97" s="774"/>
      <c r="G97" s="774"/>
      <c r="H97" s="775"/>
      <c r="I97" s="775"/>
      <c r="J97" s="753">
        <f>IF(D93=0,0,D93/D96)</f>
        <v>0</v>
      </c>
      <c r="K97" s="731"/>
      <c r="L97" s="731" t="s">
        <v>158</v>
      </c>
      <c r="M97" s="731"/>
      <c r="N97" s="731"/>
      <c r="O97" s="731"/>
      <c r="P97" s="426"/>
    </row>
    <row r="98" spans="2:16" ht="38.25">
      <c r="B98" s="846"/>
      <c r="C98" s="776" t="s">
        <v>67</v>
      </c>
      <c r="D98" s="777" t="s">
        <v>78</v>
      </c>
      <c r="E98" s="778" t="s">
        <v>79</v>
      </c>
      <c r="F98" s="777" t="s">
        <v>80</v>
      </c>
      <c r="G98" s="777" t="s">
        <v>238</v>
      </c>
      <c r="H98" s="778" t="s">
        <v>151</v>
      </c>
      <c r="I98" s="779" t="s">
        <v>151</v>
      </c>
      <c r="J98" s="776" t="s">
        <v>90</v>
      </c>
      <c r="K98" s="780"/>
      <c r="L98" s="778" t="s">
        <v>153</v>
      </c>
      <c r="M98" s="778" t="s">
        <v>159</v>
      </c>
      <c r="N98" s="778" t="s">
        <v>153</v>
      </c>
      <c r="O98" s="778" t="s">
        <v>161</v>
      </c>
      <c r="P98" s="778" t="s">
        <v>81</v>
      </c>
    </row>
    <row r="99" spans="2:16" ht="13.5" thickBot="1">
      <c r="C99" s="782" t="s">
        <v>467</v>
      </c>
      <c r="D99" s="783" t="s">
        <v>468</v>
      </c>
      <c r="E99" s="782" t="s">
        <v>361</v>
      </c>
      <c r="F99" s="783" t="s">
        <v>468</v>
      </c>
      <c r="G99" s="783" t="s">
        <v>468</v>
      </c>
      <c r="H99" s="784" t="s">
        <v>93</v>
      </c>
      <c r="I99" s="785" t="s">
        <v>95</v>
      </c>
      <c r="J99" s="786" t="s">
        <v>15</v>
      </c>
      <c r="K99" s="787"/>
      <c r="L99" s="784" t="s">
        <v>82</v>
      </c>
      <c r="M99" s="784" t="s">
        <v>82</v>
      </c>
      <c r="N99" s="784" t="s">
        <v>255</v>
      </c>
      <c r="O99" s="784" t="s">
        <v>255</v>
      </c>
      <c r="P99" s="784" t="s">
        <v>255</v>
      </c>
    </row>
    <row r="100" spans="2:16">
      <c r="C100" s="789" t="str">
        <f>IF(D94= "","-",D94)</f>
        <v>-</v>
      </c>
      <c r="D100" s="737">
        <f>+D93</f>
        <v>0</v>
      </c>
      <c r="E100" s="795">
        <f>+J97/12*(12-D95)</f>
        <v>0</v>
      </c>
      <c r="F100" s="844">
        <f t="shared" ref="F100:F159" si="0">+D100-E100</f>
        <v>0</v>
      </c>
      <c r="G100" s="737">
        <f>+(D100+F100)/2</f>
        <v>0</v>
      </c>
      <c r="H100" s="791">
        <f>+J95*G100+E100</f>
        <v>0</v>
      </c>
      <c r="I100" s="792">
        <f>+J96*G100+E100</f>
        <v>0</v>
      </c>
      <c r="J100" s="793">
        <f>+I100-H100</f>
        <v>0</v>
      </c>
      <c r="K100" s="793"/>
      <c r="L100" s="812"/>
      <c r="M100" s="845">
        <f t="shared" ref="M100:M159" si="1">IF(L100&lt;&gt;0,+H100-L100,0)</f>
        <v>0</v>
      </c>
      <c r="N100" s="812"/>
      <c r="O100" s="845">
        <f t="shared" ref="O100:O159" si="2">IF(N100&lt;&gt;0,+I100-N100,0)</f>
        <v>0</v>
      </c>
      <c r="P100" s="845">
        <f t="shared" ref="P100:P159" si="3">+O100-M100</f>
        <v>0</v>
      </c>
    </row>
    <row r="101" spans="2:16">
      <c r="C101" s="789" t="str">
        <f>IF(D94="","-",+C100+1)</f>
        <v>-</v>
      </c>
      <c r="D101" s="737">
        <f t="shared" ref="D101:D159" si="4">F100</f>
        <v>0</v>
      </c>
      <c r="E101" s="790">
        <f>IF(D101&gt;$J$97,$J$97,D101)</f>
        <v>0</v>
      </c>
      <c r="F101" s="790">
        <f t="shared" si="0"/>
        <v>0</v>
      </c>
      <c r="G101" s="737">
        <f t="shared" ref="G101:G159" si="5">+(D101+F101)/2</f>
        <v>0</v>
      </c>
      <c r="H101" s="795">
        <f>+J95*G101+E101</f>
        <v>0</v>
      </c>
      <c r="I101" s="796">
        <f>+J96*G101+E101</f>
        <v>0</v>
      </c>
      <c r="J101" s="793">
        <f>+I101-H101</f>
        <v>0</v>
      </c>
      <c r="K101" s="793"/>
      <c r="L101" s="813"/>
      <c r="M101" s="793">
        <f t="shared" si="1"/>
        <v>0</v>
      </c>
      <c r="N101" s="813"/>
      <c r="O101" s="793">
        <f t="shared" si="2"/>
        <v>0</v>
      </c>
      <c r="P101" s="793">
        <f t="shared" si="3"/>
        <v>0</v>
      </c>
    </row>
    <row r="102" spans="2:16">
      <c r="C102" s="789" t="str">
        <f>IF(D94="","-",+C101+1)</f>
        <v>-</v>
      </c>
      <c r="D102" s="737">
        <f t="shared" si="4"/>
        <v>0</v>
      </c>
      <c r="E102" s="790">
        <f t="shared" ref="E102:E159" si="6">IF(D102&gt;$J$97,$J$97,D102)</f>
        <v>0</v>
      </c>
      <c r="F102" s="790">
        <f t="shared" si="0"/>
        <v>0</v>
      </c>
      <c r="G102" s="737">
        <f t="shared" si="5"/>
        <v>0</v>
      </c>
      <c r="H102" s="795">
        <f>+J95*G102+E102</f>
        <v>0</v>
      </c>
      <c r="I102" s="796">
        <f>+J96*G102+E102</f>
        <v>0</v>
      </c>
      <c r="J102" s="793">
        <f t="shared" ref="J102:J159" si="7">+I102-H102</f>
        <v>0</v>
      </c>
      <c r="K102" s="793"/>
      <c r="L102" s="813"/>
      <c r="M102" s="793">
        <f t="shared" si="1"/>
        <v>0</v>
      </c>
      <c r="N102" s="813"/>
      <c r="O102" s="793">
        <f t="shared" si="2"/>
        <v>0</v>
      </c>
      <c r="P102" s="793">
        <f t="shared" si="3"/>
        <v>0</v>
      </c>
    </row>
    <row r="103" spans="2:16">
      <c r="C103" s="789" t="str">
        <f>IF(D94="","-",+C102+1)</f>
        <v>-</v>
      </c>
      <c r="D103" s="737">
        <f t="shared" si="4"/>
        <v>0</v>
      </c>
      <c r="E103" s="790">
        <f t="shared" si="6"/>
        <v>0</v>
      </c>
      <c r="F103" s="790">
        <f t="shared" si="0"/>
        <v>0</v>
      </c>
      <c r="G103" s="737">
        <f t="shared" si="5"/>
        <v>0</v>
      </c>
      <c r="H103" s="795">
        <f>+J95*G103+E103</f>
        <v>0</v>
      </c>
      <c r="I103" s="796">
        <f>+J96*G103+E103</f>
        <v>0</v>
      </c>
      <c r="J103" s="793">
        <f t="shared" si="7"/>
        <v>0</v>
      </c>
      <c r="K103" s="793"/>
      <c r="L103" s="813"/>
      <c r="M103" s="793">
        <f t="shared" si="1"/>
        <v>0</v>
      </c>
      <c r="N103" s="813"/>
      <c r="O103" s="793">
        <f t="shared" si="2"/>
        <v>0</v>
      </c>
      <c r="P103" s="793">
        <f t="shared" si="3"/>
        <v>0</v>
      </c>
    </row>
    <row r="104" spans="2:16">
      <c r="C104" s="789" t="str">
        <f>IF(D94="","-",+C103+1)</f>
        <v>-</v>
      </c>
      <c r="D104" s="737">
        <f t="shared" si="4"/>
        <v>0</v>
      </c>
      <c r="E104" s="790">
        <f t="shared" si="6"/>
        <v>0</v>
      </c>
      <c r="F104" s="790">
        <f t="shared" si="0"/>
        <v>0</v>
      </c>
      <c r="G104" s="737">
        <f t="shared" si="5"/>
        <v>0</v>
      </c>
      <c r="H104" s="795">
        <f>+J95*G104+E104</f>
        <v>0</v>
      </c>
      <c r="I104" s="796">
        <f>+J96*G104+E104</f>
        <v>0</v>
      </c>
      <c r="J104" s="793">
        <f t="shared" si="7"/>
        <v>0</v>
      </c>
      <c r="K104" s="793"/>
      <c r="L104" s="813"/>
      <c r="M104" s="793">
        <f t="shared" si="1"/>
        <v>0</v>
      </c>
      <c r="N104" s="813"/>
      <c r="O104" s="793">
        <f t="shared" si="2"/>
        <v>0</v>
      </c>
      <c r="P104" s="793">
        <f t="shared" si="3"/>
        <v>0</v>
      </c>
    </row>
    <row r="105" spans="2:16">
      <c r="C105" s="789" t="str">
        <f>IF(D94="","-",+C104+1)</f>
        <v>-</v>
      </c>
      <c r="D105" s="737">
        <f t="shared" si="4"/>
        <v>0</v>
      </c>
      <c r="E105" s="790">
        <f t="shared" si="6"/>
        <v>0</v>
      </c>
      <c r="F105" s="790">
        <f t="shared" si="0"/>
        <v>0</v>
      </c>
      <c r="G105" s="737">
        <f t="shared" si="5"/>
        <v>0</v>
      </c>
      <c r="H105" s="795">
        <f>+J95*G105+E105</f>
        <v>0</v>
      </c>
      <c r="I105" s="796">
        <f>+J96*G105+E105</f>
        <v>0</v>
      </c>
      <c r="J105" s="793">
        <f t="shared" si="7"/>
        <v>0</v>
      </c>
      <c r="K105" s="793"/>
      <c r="L105" s="813"/>
      <c r="M105" s="793">
        <f t="shared" si="1"/>
        <v>0</v>
      </c>
      <c r="N105" s="813"/>
      <c r="O105" s="793">
        <f t="shared" si="2"/>
        <v>0</v>
      </c>
      <c r="P105" s="793">
        <f t="shared" si="3"/>
        <v>0</v>
      </c>
    </row>
    <row r="106" spans="2:16">
      <c r="C106" s="789" t="str">
        <f>IF(D94="","-",+C105+1)</f>
        <v>-</v>
      </c>
      <c r="D106" s="737">
        <f t="shared" si="4"/>
        <v>0</v>
      </c>
      <c r="E106" s="790">
        <f t="shared" si="6"/>
        <v>0</v>
      </c>
      <c r="F106" s="790">
        <f t="shared" si="0"/>
        <v>0</v>
      </c>
      <c r="G106" s="737">
        <f t="shared" si="5"/>
        <v>0</v>
      </c>
      <c r="H106" s="795">
        <f>+J95*G106+E106</f>
        <v>0</v>
      </c>
      <c r="I106" s="796">
        <f>+J96*G106+E106</f>
        <v>0</v>
      </c>
      <c r="J106" s="793">
        <f t="shared" si="7"/>
        <v>0</v>
      </c>
      <c r="K106" s="793"/>
      <c r="L106" s="813"/>
      <c r="M106" s="793">
        <f t="shared" si="1"/>
        <v>0</v>
      </c>
      <c r="N106" s="813"/>
      <c r="O106" s="793">
        <f t="shared" si="2"/>
        <v>0</v>
      </c>
      <c r="P106" s="793">
        <f t="shared" si="3"/>
        <v>0</v>
      </c>
    </row>
    <row r="107" spans="2:16">
      <c r="C107" s="789" t="str">
        <f>IF(D94="","-",+C106+1)</f>
        <v>-</v>
      </c>
      <c r="D107" s="737">
        <f t="shared" si="4"/>
        <v>0</v>
      </c>
      <c r="E107" s="790">
        <f t="shared" si="6"/>
        <v>0</v>
      </c>
      <c r="F107" s="790">
        <f t="shared" si="0"/>
        <v>0</v>
      </c>
      <c r="G107" s="737">
        <f t="shared" si="5"/>
        <v>0</v>
      </c>
      <c r="H107" s="795">
        <f>+J95*G107+E107</f>
        <v>0</v>
      </c>
      <c r="I107" s="796">
        <f>+J96*G107+E107</f>
        <v>0</v>
      </c>
      <c r="J107" s="793">
        <f t="shared" si="7"/>
        <v>0</v>
      </c>
      <c r="K107" s="793"/>
      <c r="L107" s="813"/>
      <c r="M107" s="793">
        <f t="shared" si="1"/>
        <v>0</v>
      </c>
      <c r="N107" s="813"/>
      <c r="O107" s="793">
        <f t="shared" si="2"/>
        <v>0</v>
      </c>
      <c r="P107" s="793">
        <f t="shared" si="3"/>
        <v>0</v>
      </c>
    </row>
    <row r="108" spans="2:16">
      <c r="C108" s="789" t="str">
        <f>IF(D94="","-",+C107+1)</f>
        <v>-</v>
      </c>
      <c r="D108" s="737">
        <f t="shared" si="4"/>
        <v>0</v>
      </c>
      <c r="E108" s="790">
        <f t="shared" si="6"/>
        <v>0</v>
      </c>
      <c r="F108" s="790">
        <f t="shared" si="0"/>
        <v>0</v>
      </c>
      <c r="G108" s="737">
        <f t="shared" si="5"/>
        <v>0</v>
      </c>
      <c r="H108" s="795">
        <f>+J95*G108+E108</f>
        <v>0</v>
      </c>
      <c r="I108" s="796">
        <f>+J96*G108+E108</f>
        <v>0</v>
      </c>
      <c r="J108" s="793">
        <f t="shared" si="7"/>
        <v>0</v>
      </c>
      <c r="K108" s="793"/>
      <c r="L108" s="813"/>
      <c r="M108" s="793">
        <f t="shared" si="1"/>
        <v>0</v>
      </c>
      <c r="N108" s="813"/>
      <c r="O108" s="793">
        <f t="shared" si="2"/>
        <v>0</v>
      </c>
      <c r="P108" s="793">
        <f t="shared" si="3"/>
        <v>0</v>
      </c>
    </row>
    <row r="109" spans="2:16">
      <c r="C109" s="789" t="str">
        <f>IF(D94="","-",+C108+1)</f>
        <v>-</v>
      </c>
      <c r="D109" s="737">
        <f t="shared" si="4"/>
        <v>0</v>
      </c>
      <c r="E109" s="790">
        <f t="shared" si="6"/>
        <v>0</v>
      </c>
      <c r="F109" s="790">
        <f t="shared" si="0"/>
        <v>0</v>
      </c>
      <c r="G109" s="737">
        <f t="shared" si="5"/>
        <v>0</v>
      </c>
      <c r="H109" s="795">
        <f>+J95*G109+E109</f>
        <v>0</v>
      </c>
      <c r="I109" s="796">
        <f>+J96*G109+E109</f>
        <v>0</v>
      </c>
      <c r="J109" s="793">
        <f t="shared" si="7"/>
        <v>0</v>
      </c>
      <c r="K109" s="793"/>
      <c r="L109" s="813"/>
      <c r="M109" s="793">
        <f t="shared" si="1"/>
        <v>0</v>
      </c>
      <c r="N109" s="813"/>
      <c r="O109" s="793">
        <f t="shared" si="2"/>
        <v>0</v>
      </c>
      <c r="P109" s="793">
        <f t="shared" si="3"/>
        <v>0</v>
      </c>
    </row>
    <row r="110" spans="2:16">
      <c r="C110" s="789" t="str">
        <f>IF(D94="","-",+C109+1)</f>
        <v>-</v>
      </c>
      <c r="D110" s="737">
        <f t="shared" si="4"/>
        <v>0</v>
      </c>
      <c r="E110" s="790">
        <f t="shared" si="6"/>
        <v>0</v>
      </c>
      <c r="F110" s="790">
        <f t="shared" si="0"/>
        <v>0</v>
      </c>
      <c r="G110" s="737">
        <f t="shared" si="5"/>
        <v>0</v>
      </c>
      <c r="H110" s="795">
        <f>+J95*G110+E110</f>
        <v>0</v>
      </c>
      <c r="I110" s="796">
        <f>+J96*G110+E110</f>
        <v>0</v>
      </c>
      <c r="J110" s="793">
        <f t="shared" si="7"/>
        <v>0</v>
      </c>
      <c r="K110" s="793"/>
      <c r="L110" s="813"/>
      <c r="M110" s="793">
        <f t="shared" si="1"/>
        <v>0</v>
      </c>
      <c r="N110" s="813"/>
      <c r="O110" s="793">
        <f t="shared" si="2"/>
        <v>0</v>
      </c>
      <c r="P110" s="793">
        <f t="shared" si="3"/>
        <v>0</v>
      </c>
    </row>
    <row r="111" spans="2:16">
      <c r="C111" s="789" t="str">
        <f>IF(D94="","-",+C110+1)</f>
        <v>-</v>
      </c>
      <c r="D111" s="737">
        <f t="shared" si="4"/>
        <v>0</v>
      </c>
      <c r="E111" s="790">
        <f t="shared" si="6"/>
        <v>0</v>
      </c>
      <c r="F111" s="790">
        <f t="shared" si="0"/>
        <v>0</v>
      </c>
      <c r="G111" s="737">
        <f t="shared" si="5"/>
        <v>0</v>
      </c>
      <c r="H111" s="795">
        <f>+J95*G111+E111</f>
        <v>0</v>
      </c>
      <c r="I111" s="796">
        <f>+J96*G111+E111</f>
        <v>0</v>
      </c>
      <c r="J111" s="793">
        <f t="shared" si="7"/>
        <v>0</v>
      </c>
      <c r="K111" s="793"/>
      <c r="L111" s="813"/>
      <c r="M111" s="793">
        <f t="shared" si="1"/>
        <v>0</v>
      </c>
      <c r="N111" s="813"/>
      <c r="O111" s="793">
        <f t="shared" si="2"/>
        <v>0</v>
      </c>
      <c r="P111" s="793">
        <f t="shared" si="3"/>
        <v>0</v>
      </c>
    </row>
    <row r="112" spans="2:16">
      <c r="C112" s="789" t="str">
        <f>IF(D94="","-",+C111+1)</f>
        <v>-</v>
      </c>
      <c r="D112" s="737">
        <f t="shared" si="4"/>
        <v>0</v>
      </c>
      <c r="E112" s="790">
        <f t="shared" si="6"/>
        <v>0</v>
      </c>
      <c r="F112" s="790">
        <f t="shared" si="0"/>
        <v>0</v>
      </c>
      <c r="G112" s="737">
        <f t="shared" si="5"/>
        <v>0</v>
      </c>
      <c r="H112" s="795">
        <f>+J95*G112+E112</f>
        <v>0</v>
      </c>
      <c r="I112" s="796">
        <f>+J96*G112+E112</f>
        <v>0</v>
      </c>
      <c r="J112" s="793">
        <f t="shared" si="7"/>
        <v>0</v>
      </c>
      <c r="K112" s="793"/>
      <c r="L112" s="813"/>
      <c r="M112" s="793">
        <f t="shared" si="1"/>
        <v>0</v>
      </c>
      <c r="N112" s="813"/>
      <c r="O112" s="793">
        <f t="shared" si="2"/>
        <v>0</v>
      </c>
      <c r="P112" s="793">
        <f t="shared" si="3"/>
        <v>0</v>
      </c>
    </row>
    <row r="113" spans="3:16">
      <c r="C113" s="789" t="str">
        <f>IF(D94="","-",+C112+1)</f>
        <v>-</v>
      </c>
      <c r="D113" s="737">
        <f t="shared" si="4"/>
        <v>0</v>
      </c>
      <c r="E113" s="790">
        <f t="shared" si="6"/>
        <v>0</v>
      </c>
      <c r="F113" s="790">
        <f t="shared" si="0"/>
        <v>0</v>
      </c>
      <c r="G113" s="737">
        <f t="shared" si="5"/>
        <v>0</v>
      </c>
      <c r="H113" s="795">
        <f>+J95*G113+E113</f>
        <v>0</v>
      </c>
      <c r="I113" s="796">
        <f>+J96*G113+E113</f>
        <v>0</v>
      </c>
      <c r="J113" s="793">
        <f t="shared" si="7"/>
        <v>0</v>
      </c>
      <c r="K113" s="793"/>
      <c r="L113" s="813"/>
      <c r="M113" s="793">
        <f t="shared" si="1"/>
        <v>0</v>
      </c>
      <c r="N113" s="813"/>
      <c r="O113" s="793">
        <f t="shared" si="2"/>
        <v>0</v>
      </c>
      <c r="P113" s="793">
        <f t="shared" si="3"/>
        <v>0</v>
      </c>
    </row>
    <row r="114" spans="3:16">
      <c r="C114" s="789" t="str">
        <f>IF(D94="","-",+C113+1)</f>
        <v>-</v>
      </c>
      <c r="D114" s="737">
        <f t="shared" si="4"/>
        <v>0</v>
      </c>
      <c r="E114" s="790">
        <f t="shared" si="6"/>
        <v>0</v>
      </c>
      <c r="F114" s="790">
        <f t="shared" si="0"/>
        <v>0</v>
      </c>
      <c r="G114" s="737">
        <f t="shared" si="5"/>
        <v>0</v>
      </c>
      <c r="H114" s="795">
        <f>+J95*G114+E114</f>
        <v>0</v>
      </c>
      <c r="I114" s="796">
        <f>+J96*G114+E114</f>
        <v>0</v>
      </c>
      <c r="J114" s="793">
        <f t="shared" si="7"/>
        <v>0</v>
      </c>
      <c r="K114" s="793"/>
      <c r="L114" s="813"/>
      <c r="M114" s="793">
        <f t="shared" si="1"/>
        <v>0</v>
      </c>
      <c r="N114" s="813"/>
      <c r="O114" s="793">
        <f t="shared" si="2"/>
        <v>0</v>
      </c>
      <c r="P114" s="793">
        <f t="shared" si="3"/>
        <v>0</v>
      </c>
    </row>
    <row r="115" spans="3:16">
      <c r="C115" s="789" t="str">
        <f>IF(D94="","-",+C114+1)</f>
        <v>-</v>
      </c>
      <c r="D115" s="737">
        <f t="shared" si="4"/>
        <v>0</v>
      </c>
      <c r="E115" s="790">
        <f t="shared" si="6"/>
        <v>0</v>
      </c>
      <c r="F115" s="790">
        <f t="shared" si="0"/>
        <v>0</v>
      </c>
      <c r="G115" s="737">
        <f t="shared" si="5"/>
        <v>0</v>
      </c>
      <c r="H115" s="795">
        <f>+J95*G115+E115</f>
        <v>0</v>
      </c>
      <c r="I115" s="796">
        <f>+J96*G115+E115</f>
        <v>0</v>
      </c>
      <c r="J115" s="793">
        <f t="shared" si="7"/>
        <v>0</v>
      </c>
      <c r="K115" s="793"/>
      <c r="L115" s="813"/>
      <c r="M115" s="793">
        <f t="shared" si="1"/>
        <v>0</v>
      </c>
      <c r="N115" s="813"/>
      <c r="O115" s="793">
        <f t="shared" si="2"/>
        <v>0</v>
      </c>
      <c r="P115" s="793">
        <f t="shared" si="3"/>
        <v>0</v>
      </c>
    </row>
    <row r="116" spans="3:16">
      <c r="C116" s="789" t="str">
        <f>IF(D94="","-",+C115+1)</f>
        <v>-</v>
      </c>
      <c r="D116" s="737">
        <f t="shared" si="4"/>
        <v>0</v>
      </c>
      <c r="E116" s="790">
        <f t="shared" si="6"/>
        <v>0</v>
      </c>
      <c r="F116" s="790">
        <f t="shared" si="0"/>
        <v>0</v>
      </c>
      <c r="G116" s="737">
        <f t="shared" si="5"/>
        <v>0</v>
      </c>
      <c r="H116" s="795">
        <f>+J95*G116+E116</f>
        <v>0</v>
      </c>
      <c r="I116" s="796">
        <f>+J96*G116+E116</f>
        <v>0</v>
      </c>
      <c r="J116" s="793">
        <f t="shared" si="7"/>
        <v>0</v>
      </c>
      <c r="K116" s="793"/>
      <c r="L116" s="813"/>
      <c r="M116" s="793">
        <f t="shared" si="1"/>
        <v>0</v>
      </c>
      <c r="N116" s="813"/>
      <c r="O116" s="793">
        <f t="shared" si="2"/>
        <v>0</v>
      </c>
      <c r="P116" s="793">
        <f t="shared" si="3"/>
        <v>0</v>
      </c>
    </row>
    <row r="117" spans="3:16">
      <c r="C117" s="789" t="str">
        <f>IF(D94="","-",+C116+1)</f>
        <v>-</v>
      </c>
      <c r="D117" s="737">
        <f t="shared" si="4"/>
        <v>0</v>
      </c>
      <c r="E117" s="790">
        <f t="shared" si="6"/>
        <v>0</v>
      </c>
      <c r="F117" s="790">
        <f t="shared" si="0"/>
        <v>0</v>
      </c>
      <c r="G117" s="737">
        <f t="shared" si="5"/>
        <v>0</v>
      </c>
      <c r="H117" s="795">
        <f>+J95*G117+E117</f>
        <v>0</v>
      </c>
      <c r="I117" s="796">
        <f>+J96*G117+E117</f>
        <v>0</v>
      </c>
      <c r="J117" s="793">
        <f t="shared" si="7"/>
        <v>0</v>
      </c>
      <c r="K117" s="793"/>
      <c r="L117" s="813"/>
      <c r="M117" s="793">
        <f t="shared" si="1"/>
        <v>0</v>
      </c>
      <c r="N117" s="813"/>
      <c r="O117" s="793">
        <f t="shared" si="2"/>
        <v>0</v>
      </c>
      <c r="P117" s="793">
        <f t="shared" si="3"/>
        <v>0</v>
      </c>
    </row>
    <row r="118" spans="3:16">
      <c r="C118" s="789" t="str">
        <f>IF(D94="","-",+C117+1)</f>
        <v>-</v>
      </c>
      <c r="D118" s="737">
        <f t="shared" si="4"/>
        <v>0</v>
      </c>
      <c r="E118" s="790">
        <f t="shared" si="6"/>
        <v>0</v>
      </c>
      <c r="F118" s="790">
        <f t="shared" si="0"/>
        <v>0</v>
      </c>
      <c r="G118" s="737">
        <f t="shared" si="5"/>
        <v>0</v>
      </c>
      <c r="H118" s="795">
        <f>+J95*G118+E118</f>
        <v>0</v>
      </c>
      <c r="I118" s="796">
        <f>+J96*G118+E118</f>
        <v>0</v>
      </c>
      <c r="J118" s="793">
        <f t="shared" si="7"/>
        <v>0</v>
      </c>
      <c r="K118" s="793"/>
      <c r="L118" s="813"/>
      <c r="M118" s="793">
        <f t="shared" si="1"/>
        <v>0</v>
      </c>
      <c r="N118" s="813"/>
      <c r="O118" s="793">
        <f t="shared" si="2"/>
        <v>0</v>
      </c>
      <c r="P118" s="793">
        <f t="shared" si="3"/>
        <v>0</v>
      </c>
    </row>
    <row r="119" spans="3:16">
      <c r="C119" s="789" t="str">
        <f>IF(D94="","-",+C118+1)</f>
        <v>-</v>
      </c>
      <c r="D119" s="737">
        <f t="shared" si="4"/>
        <v>0</v>
      </c>
      <c r="E119" s="790">
        <f t="shared" si="6"/>
        <v>0</v>
      </c>
      <c r="F119" s="790">
        <f t="shared" si="0"/>
        <v>0</v>
      </c>
      <c r="G119" s="737">
        <f t="shared" si="5"/>
        <v>0</v>
      </c>
      <c r="H119" s="795">
        <f>+J95*G119+E119</f>
        <v>0</v>
      </c>
      <c r="I119" s="796">
        <f>+J96*G119+E119</f>
        <v>0</v>
      </c>
      <c r="J119" s="793">
        <f t="shared" si="7"/>
        <v>0</v>
      </c>
      <c r="K119" s="793"/>
      <c r="L119" s="813"/>
      <c r="M119" s="793">
        <f t="shared" si="1"/>
        <v>0</v>
      </c>
      <c r="N119" s="813"/>
      <c r="O119" s="793">
        <f t="shared" si="2"/>
        <v>0</v>
      </c>
      <c r="P119" s="793">
        <f t="shared" si="3"/>
        <v>0</v>
      </c>
    </row>
    <row r="120" spans="3:16">
      <c r="C120" s="789" t="str">
        <f>IF(D94="","-",+C119+1)</f>
        <v>-</v>
      </c>
      <c r="D120" s="737">
        <f t="shared" si="4"/>
        <v>0</v>
      </c>
      <c r="E120" s="790">
        <f t="shared" si="6"/>
        <v>0</v>
      </c>
      <c r="F120" s="790">
        <f t="shared" si="0"/>
        <v>0</v>
      </c>
      <c r="G120" s="737">
        <f t="shared" si="5"/>
        <v>0</v>
      </c>
      <c r="H120" s="795">
        <f>+J95*G120+E120</f>
        <v>0</v>
      </c>
      <c r="I120" s="796">
        <f>+J96*G120+E120</f>
        <v>0</v>
      </c>
      <c r="J120" s="793">
        <f t="shared" si="7"/>
        <v>0</v>
      </c>
      <c r="K120" s="793"/>
      <c r="L120" s="813"/>
      <c r="M120" s="793">
        <f t="shared" si="1"/>
        <v>0</v>
      </c>
      <c r="N120" s="813"/>
      <c r="O120" s="793">
        <f t="shared" si="2"/>
        <v>0</v>
      </c>
      <c r="P120" s="793">
        <f t="shared" si="3"/>
        <v>0</v>
      </c>
    </row>
    <row r="121" spans="3:16">
      <c r="C121" s="789" t="str">
        <f>IF(D94="","-",+C120+1)</f>
        <v>-</v>
      </c>
      <c r="D121" s="737">
        <f t="shared" si="4"/>
        <v>0</v>
      </c>
      <c r="E121" s="790">
        <f t="shared" si="6"/>
        <v>0</v>
      </c>
      <c r="F121" s="790">
        <f t="shared" si="0"/>
        <v>0</v>
      </c>
      <c r="G121" s="737">
        <f t="shared" si="5"/>
        <v>0</v>
      </c>
      <c r="H121" s="795">
        <f>+J95*G121+E121</f>
        <v>0</v>
      </c>
      <c r="I121" s="796">
        <f>+J96*G121+E121</f>
        <v>0</v>
      </c>
      <c r="J121" s="793">
        <f t="shared" si="7"/>
        <v>0</v>
      </c>
      <c r="K121" s="793"/>
      <c r="L121" s="813"/>
      <c r="M121" s="793">
        <f t="shared" si="1"/>
        <v>0</v>
      </c>
      <c r="N121" s="813"/>
      <c r="O121" s="793">
        <f t="shared" si="2"/>
        <v>0</v>
      </c>
      <c r="P121" s="793">
        <f t="shared" si="3"/>
        <v>0</v>
      </c>
    </row>
    <row r="122" spans="3:16">
      <c r="C122" s="789" t="str">
        <f>IF(D94="","-",+C121+1)</f>
        <v>-</v>
      </c>
      <c r="D122" s="737">
        <f t="shared" si="4"/>
        <v>0</v>
      </c>
      <c r="E122" s="790">
        <f t="shared" si="6"/>
        <v>0</v>
      </c>
      <c r="F122" s="790">
        <f t="shared" si="0"/>
        <v>0</v>
      </c>
      <c r="G122" s="737">
        <f t="shared" si="5"/>
        <v>0</v>
      </c>
      <c r="H122" s="795">
        <f>+J95*G122+E122</f>
        <v>0</v>
      </c>
      <c r="I122" s="796">
        <f>+J96*G122+E122</f>
        <v>0</v>
      </c>
      <c r="J122" s="793">
        <f t="shared" si="7"/>
        <v>0</v>
      </c>
      <c r="K122" s="793"/>
      <c r="L122" s="813"/>
      <c r="M122" s="793">
        <f t="shared" si="1"/>
        <v>0</v>
      </c>
      <c r="N122" s="813"/>
      <c r="O122" s="793">
        <f t="shared" si="2"/>
        <v>0</v>
      </c>
      <c r="P122" s="793">
        <f t="shared" si="3"/>
        <v>0</v>
      </c>
    </row>
    <row r="123" spans="3:16">
      <c r="C123" s="789" t="str">
        <f>IF(D94="","-",+C122+1)</f>
        <v>-</v>
      </c>
      <c r="D123" s="737">
        <f t="shared" si="4"/>
        <v>0</v>
      </c>
      <c r="E123" s="790">
        <f t="shared" si="6"/>
        <v>0</v>
      </c>
      <c r="F123" s="790">
        <f t="shared" si="0"/>
        <v>0</v>
      </c>
      <c r="G123" s="737">
        <f t="shared" si="5"/>
        <v>0</v>
      </c>
      <c r="H123" s="795">
        <f>+J95*G123+E123</f>
        <v>0</v>
      </c>
      <c r="I123" s="796">
        <f>+J96*G123+E123</f>
        <v>0</v>
      </c>
      <c r="J123" s="793">
        <f t="shared" si="7"/>
        <v>0</v>
      </c>
      <c r="K123" s="793"/>
      <c r="L123" s="813"/>
      <c r="M123" s="793">
        <f t="shared" si="1"/>
        <v>0</v>
      </c>
      <c r="N123" s="813"/>
      <c r="O123" s="793">
        <f t="shared" si="2"/>
        <v>0</v>
      </c>
      <c r="P123" s="793">
        <f t="shared" si="3"/>
        <v>0</v>
      </c>
    </row>
    <row r="124" spans="3:16">
      <c r="C124" s="789" t="str">
        <f>IF(D94="","-",+C123+1)</f>
        <v>-</v>
      </c>
      <c r="D124" s="737">
        <f t="shared" si="4"/>
        <v>0</v>
      </c>
      <c r="E124" s="790">
        <f t="shared" si="6"/>
        <v>0</v>
      </c>
      <c r="F124" s="790">
        <f t="shared" si="0"/>
        <v>0</v>
      </c>
      <c r="G124" s="737">
        <f t="shared" si="5"/>
        <v>0</v>
      </c>
      <c r="H124" s="795">
        <f>+J95*G124+E124</f>
        <v>0</v>
      </c>
      <c r="I124" s="796">
        <f>+J96*G124+E124</f>
        <v>0</v>
      </c>
      <c r="J124" s="793">
        <f t="shared" si="7"/>
        <v>0</v>
      </c>
      <c r="K124" s="793"/>
      <c r="L124" s="813"/>
      <c r="M124" s="793">
        <f t="shared" si="1"/>
        <v>0</v>
      </c>
      <c r="N124" s="813"/>
      <c r="O124" s="793">
        <f t="shared" si="2"/>
        <v>0</v>
      </c>
      <c r="P124" s="793">
        <f t="shared" si="3"/>
        <v>0</v>
      </c>
    </row>
    <row r="125" spans="3:16">
      <c r="C125" s="789" t="str">
        <f>IF(D94="","-",+C124+1)</f>
        <v>-</v>
      </c>
      <c r="D125" s="737">
        <f t="shared" si="4"/>
        <v>0</v>
      </c>
      <c r="E125" s="790">
        <f t="shared" si="6"/>
        <v>0</v>
      </c>
      <c r="F125" s="790">
        <f t="shared" si="0"/>
        <v>0</v>
      </c>
      <c r="G125" s="737">
        <f t="shared" si="5"/>
        <v>0</v>
      </c>
      <c r="H125" s="795">
        <f>+J95*G125+E125</f>
        <v>0</v>
      </c>
      <c r="I125" s="796">
        <f>+J96*G125+E125</f>
        <v>0</v>
      </c>
      <c r="J125" s="793">
        <f t="shared" si="7"/>
        <v>0</v>
      </c>
      <c r="K125" s="793"/>
      <c r="L125" s="813"/>
      <c r="M125" s="793">
        <f t="shared" si="1"/>
        <v>0</v>
      </c>
      <c r="N125" s="813"/>
      <c r="O125" s="793">
        <f t="shared" si="2"/>
        <v>0</v>
      </c>
      <c r="P125" s="793">
        <f t="shared" si="3"/>
        <v>0</v>
      </c>
    </row>
    <row r="126" spans="3:16">
      <c r="C126" s="789" t="str">
        <f>IF(D94="","-",+C125+1)</f>
        <v>-</v>
      </c>
      <c r="D126" s="737">
        <f t="shared" si="4"/>
        <v>0</v>
      </c>
      <c r="E126" s="790">
        <f t="shared" si="6"/>
        <v>0</v>
      </c>
      <c r="F126" s="790">
        <f t="shared" si="0"/>
        <v>0</v>
      </c>
      <c r="G126" s="737">
        <f t="shared" si="5"/>
        <v>0</v>
      </c>
      <c r="H126" s="795">
        <f>+J95*G126+E126</f>
        <v>0</v>
      </c>
      <c r="I126" s="796">
        <f>+J96*G126+E126</f>
        <v>0</v>
      </c>
      <c r="J126" s="793">
        <f t="shared" si="7"/>
        <v>0</v>
      </c>
      <c r="K126" s="793"/>
      <c r="L126" s="813"/>
      <c r="M126" s="793">
        <f t="shared" si="1"/>
        <v>0</v>
      </c>
      <c r="N126" s="813"/>
      <c r="O126" s="793">
        <f t="shared" si="2"/>
        <v>0</v>
      </c>
      <c r="P126" s="793">
        <f t="shared" si="3"/>
        <v>0</v>
      </c>
    </row>
    <row r="127" spans="3:16">
      <c r="C127" s="789" t="str">
        <f>IF(D94="","-",+C126+1)</f>
        <v>-</v>
      </c>
      <c r="D127" s="737">
        <f t="shared" si="4"/>
        <v>0</v>
      </c>
      <c r="E127" s="790">
        <f t="shared" si="6"/>
        <v>0</v>
      </c>
      <c r="F127" s="790">
        <f t="shared" si="0"/>
        <v>0</v>
      </c>
      <c r="G127" s="737">
        <f t="shared" si="5"/>
        <v>0</v>
      </c>
      <c r="H127" s="795">
        <f>+J95*G127+E127</f>
        <v>0</v>
      </c>
      <c r="I127" s="796">
        <f>+J96*G127+E127</f>
        <v>0</v>
      </c>
      <c r="J127" s="793">
        <f t="shared" si="7"/>
        <v>0</v>
      </c>
      <c r="K127" s="793"/>
      <c r="L127" s="813"/>
      <c r="M127" s="793">
        <f t="shared" si="1"/>
        <v>0</v>
      </c>
      <c r="N127" s="813"/>
      <c r="O127" s="793">
        <f t="shared" si="2"/>
        <v>0</v>
      </c>
      <c r="P127" s="793">
        <f t="shared" si="3"/>
        <v>0</v>
      </c>
    </row>
    <row r="128" spans="3:16">
      <c r="C128" s="789" t="str">
        <f>IF(D94="","-",+C127+1)</f>
        <v>-</v>
      </c>
      <c r="D128" s="737">
        <f t="shared" si="4"/>
        <v>0</v>
      </c>
      <c r="E128" s="790">
        <f t="shared" si="6"/>
        <v>0</v>
      </c>
      <c r="F128" s="790">
        <f t="shared" si="0"/>
        <v>0</v>
      </c>
      <c r="G128" s="737">
        <f t="shared" si="5"/>
        <v>0</v>
      </c>
      <c r="H128" s="795">
        <f>+J95*G128+E128</f>
        <v>0</v>
      </c>
      <c r="I128" s="796">
        <f>+J96*G128+E128</f>
        <v>0</v>
      </c>
      <c r="J128" s="793">
        <f t="shared" si="7"/>
        <v>0</v>
      </c>
      <c r="K128" s="793"/>
      <c r="L128" s="813"/>
      <c r="M128" s="793">
        <f t="shared" si="1"/>
        <v>0</v>
      </c>
      <c r="N128" s="813"/>
      <c r="O128" s="793">
        <f t="shared" si="2"/>
        <v>0</v>
      </c>
      <c r="P128" s="793">
        <f t="shared" si="3"/>
        <v>0</v>
      </c>
    </row>
    <row r="129" spans="3:16">
      <c r="C129" s="789" t="str">
        <f>IF(D94="","-",+C128+1)</f>
        <v>-</v>
      </c>
      <c r="D129" s="737">
        <f t="shared" si="4"/>
        <v>0</v>
      </c>
      <c r="E129" s="790">
        <f t="shared" si="6"/>
        <v>0</v>
      </c>
      <c r="F129" s="790">
        <f t="shared" si="0"/>
        <v>0</v>
      </c>
      <c r="G129" s="737">
        <f t="shared" si="5"/>
        <v>0</v>
      </c>
      <c r="H129" s="795">
        <f>+J95*G129+E129</f>
        <v>0</v>
      </c>
      <c r="I129" s="796">
        <f>+J96*G129+E129</f>
        <v>0</v>
      </c>
      <c r="J129" s="793">
        <f t="shared" si="7"/>
        <v>0</v>
      </c>
      <c r="K129" s="793"/>
      <c r="L129" s="813"/>
      <c r="M129" s="793">
        <f t="shared" si="1"/>
        <v>0</v>
      </c>
      <c r="N129" s="813"/>
      <c r="O129" s="793">
        <f t="shared" si="2"/>
        <v>0</v>
      </c>
      <c r="P129" s="793">
        <f t="shared" si="3"/>
        <v>0</v>
      </c>
    </row>
    <row r="130" spans="3:16">
      <c r="C130" s="789" t="str">
        <f>IF(D94="","-",+C129+1)</f>
        <v>-</v>
      </c>
      <c r="D130" s="737">
        <f t="shared" si="4"/>
        <v>0</v>
      </c>
      <c r="E130" s="790">
        <f t="shared" si="6"/>
        <v>0</v>
      </c>
      <c r="F130" s="790">
        <f t="shared" si="0"/>
        <v>0</v>
      </c>
      <c r="G130" s="737">
        <f t="shared" si="5"/>
        <v>0</v>
      </c>
      <c r="H130" s="795">
        <f>+J95*G130+E130</f>
        <v>0</v>
      </c>
      <c r="I130" s="796">
        <f>+J96*G130+E130</f>
        <v>0</v>
      </c>
      <c r="J130" s="793">
        <f t="shared" si="7"/>
        <v>0</v>
      </c>
      <c r="K130" s="793"/>
      <c r="L130" s="813"/>
      <c r="M130" s="793">
        <f t="shared" si="1"/>
        <v>0</v>
      </c>
      <c r="N130" s="813"/>
      <c r="O130" s="793">
        <f t="shared" si="2"/>
        <v>0</v>
      </c>
      <c r="P130" s="793">
        <f t="shared" si="3"/>
        <v>0</v>
      </c>
    </row>
    <row r="131" spans="3:16">
      <c r="C131" s="789" t="str">
        <f>IF(D94="","-",+C130+1)</f>
        <v>-</v>
      </c>
      <c r="D131" s="737">
        <f t="shared" si="4"/>
        <v>0</v>
      </c>
      <c r="E131" s="790">
        <f t="shared" si="6"/>
        <v>0</v>
      </c>
      <c r="F131" s="790">
        <f t="shared" si="0"/>
        <v>0</v>
      </c>
      <c r="G131" s="737">
        <f t="shared" si="5"/>
        <v>0</v>
      </c>
      <c r="H131" s="795">
        <f>+J95*G131+E131</f>
        <v>0</v>
      </c>
      <c r="I131" s="796">
        <f>+J96*G131+E131</f>
        <v>0</v>
      </c>
      <c r="J131" s="793">
        <f t="shared" si="7"/>
        <v>0</v>
      </c>
      <c r="K131" s="793"/>
      <c r="L131" s="813"/>
      <c r="M131" s="793">
        <f t="shared" si="1"/>
        <v>0</v>
      </c>
      <c r="N131" s="813"/>
      <c r="O131" s="793">
        <f t="shared" si="2"/>
        <v>0</v>
      </c>
      <c r="P131" s="793">
        <f t="shared" si="3"/>
        <v>0</v>
      </c>
    </row>
    <row r="132" spans="3:16">
      <c r="C132" s="789" t="str">
        <f>IF(D94="","-",+C131+1)</f>
        <v>-</v>
      </c>
      <c r="D132" s="737">
        <f t="shared" si="4"/>
        <v>0</v>
      </c>
      <c r="E132" s="790">
        <f t="shared" si="6"/>
        <v>0</v>
      </c>
      <c r="F132" s="790">
        <f t="shared" si="0"/>
        <v>0</v>
      </c>
      <c r="G132" s="737">
        <f t="shared" si="5"/>
        <v>0</v>
      </c>
      <c r="H132" s="795">
        <f>+J95*G132+E132</f>
        <v>0</v>
      </c>
      <c r="I132" s="796">
        <f>+J96*G132+E132</f>
        <v>0</v>
      </c>
      <c r="J132" s="793">
        <f t="shared" si="7"/>
        <v>0</v>
      </c>
      <c r="K132" s="793"/>
      <c r="L132" s="813"/>
      <c r="M132" s="793">
        <f t="shared" si="1"/>
        <v>0</v>
      </c>
      <c r="N132" s="813"/>
      <c r="O132" s="793">
        <f t="shared" si="2"/>
        <v>0</v>
      </c>
      <c r="P132" s="793">
        <f t="shared" si="3"/>
        <v>0</v>
      </c>
    </row>
    <row r="133" spans="3:16">
      <c r="C133" s="789" t="str">
        <f>IF(D94="","-",+C132+1)</f>
        <v>-</v>
      </c>
      <c r="D133" s="737">
        <f t="shared" si="4"/>
        <v>0</v>
      </c>
      <c r="E133" s="790">
        <f t="shared" si="6"/>
        <v>0</v>
      </c>
      <c r="F133" s="790">
        <f t="shared" si="0"/>
        <v>0</v>
      </c>
      <c r="G133" s="737">
        <f t="shared" si="5"/>
        <v>0</v>
      </c>
      <c r="H133" s="795">
        <f>+J95*G133+E133</f>
        <v>0</v>
      </c>
      <c r="I133" s="796">
        <f>+J96*G133+E133</f>
        <v>0</v>
      </c>
      <c r="J133" s="793">
        <f t="shared" si="7"/>
        <v>0</v>
      </c>
      <c r="K133" s="793"/>
      <c r="L133" s="813"/>
      <c r="M133" s="793">
        <f t="shared" si="1"/>
        <v>0</v>
      </c>
      <c r="N133" s="813"/>
      <c r="O133" s="793">
        <f t="shared" si="2"/>
        <v>0</v>
      </c>
      <c r="P133" s="793">
        <f t="shared" si="3"/>
        <v>0</v>
      </c>
    </row>
    <row r="134" spans="3:16">
      <c r="C134" s="789" t="str">
        <f>IF(D94="","-",+C133+1)</f>
        <v>-</v>
      </c>
      <c r="D134" s="737">
        <f t="shared" si="4"/>
        <v>0</v>
      </c>
      <c r="E134" s="790">
        <f t="shared" si="6"/>
        <v>0</v>
      </c>
      <c r="F134" s="790">
        <f t="shared" si="0"/>
        <v>0</v>
      </c>
      <c r="G134" s="737">
        <f t="shared" si="5"/>
        <v>0</v>
      </c>
      <c r="H134" s="795">
        <f>+J95*G134+E134</f>
        <v>0</v>
      </c>
      <c r="I134" s="796">
        <f>+J96*G134+E134</f>
        <v>0</v>
      </c>
      <c r="J134" s="793">
        <f t="shared" si="7"/>
        <v>0</v>
      </c>
      <c r="K134" s="793"/>
      <c r="L134" s="813"/>
      <c r="M134" s="793">
        <f t="shared" si="1"/>
        <v>0</v>
      </c>
      <c r="N134" s="813"/>
      <c r="O134" s="793">
        <f t="shared" si="2"/>
        <v>0</v>
      </c>
      <c r="P134" s="793">
        <f t="shared" si="3"/>
        <v>0</v>
      </c>
    </row>
    <row r="135" spans="3:16">
      <c r="C135" s="789" t="str">
        <f>IF(D94="","-",+C134+1)</f>
        <v>-</v>
      </c>
      <c r="D135" s="737">
        <f t="shared" si="4"/>
        <v>0</v>
      </c>
      <c r="E135" s="790">
        <f t="shared" si="6"/>
        <v>0</v>
      </c>
      <c r="F135" s="790">
        <f t="shared" si="0"/>
        <v>0</v>
      </c>
      <c r="G135" s="737">
        <f t="shared" si="5"/>
        <v>0</v>
      </c>
      <c r="H135" s="795">
        <f>+J95*G135+E135</f>
        <v>0</v>
      </c>
      <c r="I135" s="796">
        <f>+J96*G135+E135</f>
        <v>0</v>
      </c>
      <c r="J135" s="793">
        <f t="shared" si="7"/>
        <v>0</v>
      </c>
      <c r="K135" s="793"/>
      <c r="L135" s="813"/>
      <c r="M135" s="793">
        <f t="shared" si="1"/>
        <v>0</v>
      </c>
      <c r="N135" s="813"/>
      <c r="O135" s="793">
        <f t="shared" si="2"/>
        <v>0</v>
      </c>
      <c r="P135" s="793">
        <f t="shared" si="3"/>
        <v>0</v>
      </c>
    </row>
    <row r="136" spans="3:16">
      <c r="C136" s="789" t="str">
        <f>IF(D94="","-",+C135+1)</f>
        <v>-</v>
      </c>
      <c r="D136" s="737">
        <f t="shared" si="4"/>
        <v>0</v>
      </c>
      <c r="E136" s="790">
        <f t="shared" si="6"/>
        <v>0</v>
      </c>
      <c r="F136" s="790">
        <f t="shared" si="0"/>
        <v>0</v>
      </c>
      <c r="G136" s="737">
        <f t="shared" si="5"/>
        <v>0</v>
      </c>
      <c r="H136" s="795">
        <f>+J95*G136+E136</f>
        <v>0</v>
      </c>
      <c r="I136" s="796">
        <f>+J96*G136+E136</f>
        <v>0</v>
      </c>
      <c r="J136" s="793">
        <f t="shared" si="7"/>
        <v>0</v>
      </c>
      <c r="K136" s="793"/>
      <c r="L136" s="813"/>
      <c r="M136" s="793">
        <f t="shared" si="1"/>
        <v>0</v>
      </c>
      <c r="N136" s="813"/>
      <c r="O136" s="793">
        <f t="shared" si="2"/>
        <v>0</v>
      </c>
      <c r="P136" s="793">
        <f t="shared" si="3"/>
        <v>0</v>
      </c>
    </row>
    <row r="137" spans="3:16">
      <c r="C137" s="789" t="str">
        <f>IF(D94="","-",+C136+1)</f>
        <v>-</v>
      </c>
      <c r="D137" s="737">
        <f t="shared" si="4"/>
        <v>0</v>
      </c>
      <c r="E137" s="790">
        <f t="shared" si="6"/>
        <v>0</v>
      </c>
      <c r="F137" s="790">
        <f t="shared" si="0"/>
        <v>0</v>
      </c>
      <c r="G137" s="737">
        <f t="shared" si="5"/>
        <v>0</v>
      </c>
      <c r="H137" s="795">
        <f>+J95*G137+E137</f>
        <v>0</v>
      </c>
      <c r="I137" s="796">
        <f>+J96*G137+E137</f>
        <v>0</v>
      </c>
      <c r="J137" s="793">
        <f t="shared" si="7"/>
        <v>0</v>
      </c>
      <c r="K137" s="793"/>
      <c r="L137" s="813"/>
      <c r="M137" s="793">
        <f t="shared" si="1"/>
        <v>0</v>
      </c>
      <c r="N137" s="813"/>
      <c r="O137" s="793">
        <f t="shared" si="2"/>
        <v>0</v>
      </c>
      <c r="P137" s="793">
        <f t="shared" si="3"/>
        <v>0</v>
      </c>
    </row>
    <row r="138" spans="3:16">
      <c r="C138" s="789" t="str">
        <f>IF(D94="","-",+C137+1)</f>
        <v>-</v>
      </c>
      <c r="D138" s="737">
        <f t="shared" si="4"/>
        <v>0</v>
      </c>
      <c r="E138" s="790">
        <f t="shared" si="6"/>
        <v>0</v>
      </c>
      <c r="F138" s="790">
        <f t="shared" si="0"/>
        <v>0</v>
      </c>
      <c r="G138" s="737">
        <f t="shared" si="5"/>
        <v>0</v>
      </c>
      <c r="H138" s="795">
        <f>+J95*G138+E138</f>
        <v>0</v>
      </c>
      <c r="I138" s="796">
        <f>+J96*G138+E138</f>
        <v>0</v>
      </c>
      <c r="J138" s="793">
        <f t="shared" si="7"/>
        <v>0</v>
      </c>
      <c r="K138" s="793"/>
      <c r="L138" s="813"/>
      <c r="M138" s="793">
        <f t="shared" si="1"/>
        <v>0</v>
      </c>
      <c r="N138" s="813"/>
      <c r="O138" s="793">
        <f t="shared" si="2"/>
        <v>0</v>
      </c>
      <c r="P138" s="793">
        <f t="shared" si="3"/>
        <v>0</v>
      </c>
    </row>
    <row r="139" spans="3:16">
      <c r="C139" s="789" t="str">
        <f>IF(D94="","-",+C138+1)</f>
        <v>-</v>
      </c>
      <c r="D139" s="737">
        <f t="shared" si="4"/>
        <v>0</v>
      </c>
      <c r="E139" s="790">
        <f t="shared" si="6"/>
        <v>0</v>
      </c>
      <c r="F139" s="790">
        <f t="shared" si="0"/>
        <v>0</v>
      </c>
      <c r="G139" s="737">
        <f t="shared" si="5"/>
        <v>0</v>
      </c>
      <c r="H139" s="795">
        <f>+J95*G139+E139</f>
        <v>0</v>
      </c>
      <c r="I139" s="796">
        <f>+J96*G139+E139</f>
        <v>0</v>
      </c>
      <c r="J139" s="793">
        <f t="shared" si="7"/>
        <v>0</v>
      </c>
      <c r="K139" s="793"/>
      <c r="L139" s="813"/>
      <c r="M139" s="793">
        <f t="shared" si="1"/>
        <v>0</v>
      </c>
      <c r="N139" s="813"/>
      <c r="O139" s="793">
        <f t="shared" si="2"/>
        <v>0</v>
      </c>
      <c r="P139" s="793">
        <f t="shared" si="3"/>
        <v>0</v>
      </c>
    </row>
    <row r="140" spans="3:16">
      <c r="C140" s="789" t="str">
        <f>IF(D94="","-",+C139+1)</f>
        <v>-</v>
      </c>
      <c r="D140" s="737">
        <f t="shared" si="4"/>
        <v>0</v>
      </c>
      <c r="E140" s="790">
        <f t="shared" si="6"/>
        <v>0</v>
      </c>
      <c r="F140" s="790">
        <f t="shared" si="0"/>
        <v>0</v>
      </c>
      <c r="G140" s="737">
        <f t="shared" si="5"/>
        <v>0</v>
      </c>
      <c r="H140" s="795">
        <f>+J95*G140+E140</f>
        <v>0</v>
      </c>
      <c r="I140" s="796">
        <f>+J96*G140+E140</f>
        <v>0</v>
      </c>
      <c r="J140" s="793">
        <f t="shared" si="7"/>
        <v>0</v>
      </c>
      <c r="K140" s="793"/>
      <c r="L140" s="813"/>
      <c r="M140" s="793">
        <f t="shared" si="1"/>
        <v>0</v>
      </c>
      <c r="N140" s="813"/>
      <c r="O140" s="793">
        <f t="shared" si="2"/>
        <v>0</v>
      </c>
      <c r="P140" s="793">
        <f t="shared" si="3"/>
        <v>0</v>
      </c>
    </row>
    <row r="141" spans="3:16">
      <c r="C141" s="789" t="str">
        <f>IF(D94="","-",+C140+1)</f>
        <v>-</v>
      </c>
      <c r="D141" s="737">
        <f t="shared" si="4"/>
        <v>0</v>
      </c>
      <c r="E141" s="790">
        <f t="shared" si="6"/>
        <v>0</v>
      </c>
      <c r="F141" s="790">
        <f t="shared" si="0"/>
        <v>0</v>
      </c>
      <c r="G141" s="737">
        <f t="shared" si="5"/>
        <v>0</v>
      </c>
      <c r="H141" s="795">
        <f>+J95*G141+E141</f>
        <v>0</v>
      </c>
      <c r="I141" s="796">
        <f>+J96*G141+E141</f>
        <v>0</v>
      </c>
      <c r="J141" s="793">
        <f t="shared" si="7"/>
        <v>0</v>
      </c>
      <c r="K141" s="793"/>
      <c r="L141" s="813"/>
      <c r="M141" s="793">
        <f t="shared" si="1"/>
        <v>0</v>
      </c>
      <c r="N141" s="813"/>
      <c r="O141" s="793">
        <f t="shared" si="2"/>
        <v>0</v>
      </c>
      <c r="P141" s="793">
        <f t="shared" si="3"/>
        <v>0</v>
      </c>
    </row>
    <row r="142" spans="3:16">
      <c r="C142" s="789" t="str">
        <f>IF(D94="","-",+C141+1)</f>
        <v>-</v>
      </c>
      <c r="D142" s="737">
        <f t="shared" si="4"/>
        <v>0</v>
      </c>
      <c r="E142" s="790">
        <f t="shared" si="6"/>
        <v>0</v>
      </c>
      <c r="F142" s="790">
        <f t="shared" si="0"/>
        <v>0</v>
      </c>
      <c r="G142" s="737">
        <f t="shared" si="5"/>
        <v>0</v>
      </c>
      <c r="H142" s="795">
        <f>+J95*G142+E142</f>
        <v>0</v>
      </c>
      <c r="I142" s="796">
        <f>+J96*G142+E142</f>
        <v>0</v>
      </c>
      <c r="J142" s="793">
        <f t="shared" si="7"/>
        <v>0</v>
      </c>
      <c r="K142" s="793"/>
      <c r="L142" s="813"/>
      <c r="M142" s="793">
        <f t="shared" si="1"/>
        <v>0</v>
      </c>
      <c r="N142" s="813"/>
      <c r="O142" s="793">
        <f t="shared" si="2"/>
        <v>0</v>
      </c>
      <c r="P142" s="793">
        <f t="shared" si="3"/>
        <v>0</v>
      </c>
    </row>
    <row r="143" spans="3:16">
      <c r="C143" s="789" t="str">
        <f>IF(D94="","-",+C142+1)</f>
        <v>-</v>
      </c>
      <c r="D143" s="737">
        <f t="shared" si="4"/>
        <v>0</v>
      </c>
      <c r="E143" s="790">
        <f t="shared" si="6"/>
        <v>0</v>
      </c>
      <c r="F143" s="790">
        <f t="shared" si="0"/>
        <v>0</v>
      </c>
      <c r="G143" s="737">
        <f t="shared" si="5"/>
        <v>0</v>
      </c>
      <c r="H143" s="795">
        <f>+J95*G143+E143</f>
        <v>0</v>
      </c>
      <c r="I143" s="796">
        <f>+J96*G143+E143</f>
        <v>0</v>
      </c>
      <c r="J143" s="793">
        <f t="shared" si="7"/>
        <v>0</v>
      </c>
      <c r="K143" s="793"/>
      <c r="L143" s="813"/>
      <c r="M143" s="793">
        <f t="shared" si="1"/>
        <v>0</v>
      </c>
      <c r="N143" s="813"/>
      <c r="O143" s="793">
        <f t="shared" si="2"/>
        <v>0</v>
      </c>
      <c r="P143" s="793">
        <f t="shared" si="3"/>
        <v>0</v>
      </c>
    </row>
    <row r="144" spans="3:16">
      <c r="C144" s="789" t="str">
        <f>IF(D94="","-",+C143+1)</f>
        <v>-</v>
      </c>
      <c r="D144" s="737">
        <f t="shared" si="4"/>
        <v>0</v>
      </c>
      <c r="E144" s="790">
        <f t="shared" si="6"/>
        <v>0</v>
      </c>
      <c r="F144" s="790">
        <f t="shared" si="0"/>
        <v>0</v>
      </c>
      <c r="G144" s="737">
        <f t="shared" si="5"/>
        <v>0</v>
      </c>
      <c r="H144" s="795">
        <f>+J95*G144+E144</f>
        <v>0</v>
      </c>
      <c r="I144" s="796">
        <f>+J96*G144+E144</f>
        <v>0</v>
      </c>
      <c r="J144" s="793">
        <f t="shared" si="7"/>
        <v>0</v>
      </c>
      <c r="K144" s="793"/>
      <c r="L144" s="813"/>
      <c r="M144" s="793">
        <f t="shared" si="1"/>
        <v>0</v>
      </c>
      <c r="N144" s="813"/>
      <c r="O144" s="793">
        <f t="shared" si="2"/>
        <v>0</v>
      </c>
      <c r="P144" s="793">
        <f t="shared" si="3"/>
        <v>0</v>
      </c>
    </row>
    <row r="145" spans="3:16">
      <c r="C145" s="789" t="str">
        <f>IF(D94="","-",+C144+1)</f>
        <v>-</v>
      </c>
      <c r="D145" s="737">
        <f t="shared" si="4"/>
        <v>0</v>
      </c>
      <c r="E145" s="790">
        <f t="shared" si="6"/>
        <v>0</v>
      </c>
      <c r="F145" s="790">
        <f t="shared" si="0"/>
        <v>0</v>
      </c>
      <c r="G145" s="737">
        <f t="shared" si="5"/>
        <v>0</v>
      </c>
      <c r="H145" s="795">
        <f>+J95*G145+E145</f>
        <v>0</v>
      </c>
      <c r="I145" s="796">
        <f>+J96*G145+E145</f>
        <v>0</v>
      </c>
      <c r="J145" s="793">
        <f t="shared" si="7"/>
        <v>0</v>
      </c>
      <c r="K145" s="793"/>
      <c r="L145" s="813"/>
      <c r="M145" s="793">
        <f t="shared" si="1"/>
        <v>0</v>
      </c>
      <c r="N145" s="813"/>
      <c r="O145" s="793">
        <f t="shared" si="2"/>
        <v>0</v>
      </c>
      <c r="P145" s="793">
        <f t="shared" si="3"/>
        <v>0</v>
      </c>
    </row>
    <row r="146" spans="3:16">
      <c r="C146" s="789" t="str">
        <f>IF(D94="","-",+C145+1)</f>
        <v>-</v>
      </c>
      <c r="D146" s="737">
        <f t="shared" si="4"/>
        <v>0</v>
      </c>
      <c r="E146" s="790">
        <f t="shared" si="6"/>
        <v>0</v>
      </c>
      <c r="F146" s="790">
        <f t="shared" si="0"/>
        <v>0</v>
      </c>
      <c r="G146" s="737">
        <f t="shared" si="5"/>
        <v>0</v>
      </c>
      <c r="H146" s="795">
        <f>+J95*G146+E146</f>
        <v>0</v>
      </c>
      <c r="I146" s="796">
        <f>+J96*G146+E146</f>
        <v>0</v>
      </c>
      <c r="J146" s="793">
        <f t="shared" si="7"/>
        <v>0</v>
      </c>
      <c r="K146" s="793"/>
      <c r="L146" s="813"/>
      <c r="M146" s="793">
        <f t="shared" si="1"/>
        <v>0</v>
      </c>
      <c r="N146" s="813"/>
      <c r="O146" s="793">
        <f t="shared" si="2"/>
        <v>0</v>
      </c>
      <c r="P146" s="793">
        <f t="shared" si="3"/>
        <v>0</v>
      </c>
    </row>
    <row r="147" spans="3:16">
      <c r="C147" s="789" t="str">
        <f>IF(D94="","-",+C146+1)</f>
        <v>-</v>
      </c>
      <c r="D147" s="737">
        <f t="shared" si="4"/>
        <v>0</v>
      </c>
      <c r="E147" s="790">
        <f t="shared" si="6"/>
        <v>0</v>
      </c>
      <c r="F147" s="790">
        <f t="shared" si="0"/>
        <v>0</v>
      </c>
      <c r="G147" s="737">
        <f t="shared" si="5"/>
        <v>0</v>
      </c>
      <c r="H147" s="795">
        <f>+J95*G147+E147</f>
        <v>0</v>
      </c>
      <c r="I147" s="796">
        <f>+J96*G147+E147</f>
        <v>0</v>
      </c>
      <c r="J147" s="793">
        <f t="shared" si="7"/>
        <v>0</v>
      </c>
      <c r="K147" s="793"/>
      <c r="L147" s="813"/>
      <c r="M147" s="793">
        <f t="shared" si="1"/>
        <v>0</v>
      </c>
      <c r="N147" s="813"/>
      <c r="O147" s="793">
        <f t="shared" si="2"/>
        <v>0</v>
      </c>
      <c r="P147" s="793">
        <f t="shared" si="3"/>
        <v>0</v>
      </c>
    </row>
    <row r="148" spans="3:16">
      <c r="C148" s="789" t="str">
        <f>IF(D94="","-",+C147+1)</f>
        <v>-</v>
      </c>
      <c r="D148" s="737">
        <f t="shared" si="4"/>
        <v>0</v>
      </c>
      <c r="E148" s="790">
        <f t="shared" si="6"/>
        <v>0</v>
      </c>
      <c r="F148" s="790">
        <f t="shared" si="0"/>
        <v>0</v>
      </c>
      <c r="G148" s="737">
        <f t="shared" si="5"/>
        <v>0</v>
      </c>
      <c r="H148" s="795">
        <f>+J95*G148+E148</f>
        <v>0</v>
      </c>
      <c r="I148" s="796">
        <f>+J96*G148+E148</f>
        <v>0</v>
      </c>
      <c r="J148" s="793">
        <f t="shared" si="7"/>
        <v>0</v>
      </c>
      <c r="K148" s="793"/>
      <c r="L148" s="813"/>
      <c r="M148" s="793">
        <f t="shared" si="1"/>
        <v>0</v>
      </c>
      <c r="N148" s="813"/>
      <c r="O148" s="793">
        <f t="shared" si="2"/>
        <v>0</v>
      </c>
      <c r="P148" s="793">
        <f t="shared" si="3"/>
        <v>0</v>
      </c>
    </row>
    <row r="149" spans="3:16">
      <c r="C149" s="789" t="str">
        <f>IF(D94="","-",+C148+1)</f>
        <v>-</v>
      </c>
      <c r="D149" s="737">
        <f t="shared" si="4"/>
        <v>0</v>
      </c>
      <c r="E149" s="790">
        <f t="shared" si="6"/>
        <v>0</v>
      </c>
      <c r="F149" s="790">
        <f t="shared" si="0"/>
        <v>0</v>
      </c>
      <c r="G149" s="737">
        <f t="shared" si="5"/>
        <v>0</v>
      </c>
      <c r="H149" s="795">
        <f>+J95*G149+E149</f>
        <v>0</v>
      </c>
      <c r="I149" s="796">
        <f>+J96*G149+E149</f>
        <v>0</v>
      </c>
      <c r="J149" s="793">
        <f t="shared" si="7"/>
        <v>0</v>
      </c>
      <c r="K149" s="793"/>
      <c r="L149" s="813"/>
      <c r="M149" s="793">
        <f t="shared" si="1"/>
        <v>0</v>
      </c>
      <c r="N149" s="813"/>
      <c r="O149" s="793">
        <f t="shared" si="2"/>
        <v>0</v>
      </c>
      <c r="P149" s="793">
        <f t="shared" si="3"/>
        <v>0</v>
      </c>
    </row>
    <row r="150" spans="3:16">
      <c r="C150" s="789" t="str">
        <f>IF(D94="","-",+C149+1)</f>
        <v>-</v>
      </c>
      <c r="D150" s="737">
        <f t="shared" si="4"/>
        <v>0</v>
      </c>
      <c r="E150" s="790">
        <f t="shared" si="6"/>
        <v>0</v>
      </c>
      <c r="F150" s="790">
        <f t="shared" si="0"/>
        <v>0</v>
      </c>
      <c r="G150" s="737">
        <f t="shared" si="5"/>
        <v>0</v>
      </c>
      <c r="H150" s="795">
        <f>+J95*G150+E150</f>
        <v>0</v>
      </c>
      <c r="I150" s="796">
        <f>+J96*G150+E150</f>
        <v>0</v>
      </c>
      <c r="J150" s="793">
        <f t="shared" si="7"/>
        <v>0</v>
      </c>
      <c r="K150" s="793"/>
      <c r="L150" s="813"/>
      <c r="M150" s="793">
        <f t="shared" si="1"/>
        <v>0</v>
      </c>
      <c r="N150" s="813"/>
      <c r="O150" s="793">
        <f t="shared" si="2"/>
        <v>0</v>
      </c>
      <c r="P150" s="793">
        <f t="shared" si="3"/>
        <v>0</v>
      </c>
    </row>
    <row r="151" spans="3:16">
      <c r="C151" s="789" t="str">
        <f>IF(D94="","-",+C150+1)</f>
        <v>-</v>
      </c>
      <c r="D151" s="737">
        <f t="shared" si="4"/>
        <v>0</v>
      </c>
      <c r="E151" s="790">
        <f t="shared" si="6"/>
        <v>0</v>
      </c>
      <c r="F151" s="790">
        <f t="shared" si="0"/>
        <v>0</v>
      </c>
      <c r="G151" s="737">
        <f t="shared" si="5"/>
        <v>0</v>
      </c>
      <c r="H151" s="795">
        <f>+J95*G151+E151</f>
        <v>0</v>
      </c>
      <c r="I151" s="796">
        <f>+J96*G151+E151</f>
        <v>0</v>
      </c>
      <c r="J151" s="793">
        <f t="shared" si="7"/>
        <v>0</v>
      </c>
      <c r="K151" s="793"/>
      <c r="L151" s="813"/>
      <c r="M151" s="793">
        <f t="shared" si="1"/>
        <v>0</v>
      </c>
      <c r="N151" s="813"/>
      <c r="O151" s="793">
        <f t="shared" si="2"/>
        <v>0</v>
      </c>
      <c r="P151" s="793">
        <f t="shared" si="3"/>
        <v>0</v>
      </c>
    </row>
    <row r="152" spans="3:16">
      <c r="C152" s="789" t="str">
        <f>IF(D94="","-",+C151+1)</f>
        <v>-</v>
      </c>
      <c r="D152" s="737">
        <f t="shared" si="4"/>
        <v>0</v>
      </c>
      <c r="E152" s="790">
        <f t="shared" si="6"/>
        <v>0</v>
      </c>
      <c r="F152" s="790">
        <f t="shared" si="0"/>
        <v>0</v>
      </c>
      <c r="G152" s="737">
        <f t="shared" si="5"/>
        <v>0</v>
      </c>
      <c r="H152" s="795">
        <f>+J95*G152+E152</f>
        <v>0</v>
      </c>
      <c r="I152" s="796">
        <f>+J96*G152+E152</f>
        <v>0</v>
      </c>
      <c r="J152" s="793">
        <f t="shared" si="7"/>
        <v>0</v>
      </c>
      <c r="K152" s="793"/>
      <c r="L152" s="813"/>
      <c r="M152" s="793">
        <f t="shared" si="1"/>
        <v>0</v>
      </c>
      <c r="N152" s="813"/>
      <c r="O152" s="793">
        <f t="shared" si="2"/>
        <v>0</v>
      </c>
      <c r="P152" s="793">
        <f t="shared" si="3"/>
        <v>0</v>
      </c>
    </row>
    <row r="153" spans="3:16">
      <c r="C153" s="789" t="str">
        <f>IF(D94="","-",+C152+1)</f>
        <v>-</v>
      </c>
      <c r="D153" s="737">
        <f t="shared" si="4"/>
        <v>0</v>
      </c>
      <c r="E153" s="790">
        <f t="shared" si="6"/>
        <v>0</v>
      </c>
      <c r="F153" s="790">
        <f t="shared" si="0"/>
        <v>0</v>
      </c>
      <c r="G153" s="737">
        <f t="shared" si="5"/>
        <v>0</v>
      </c>
      <c r="H153" s="795">
        <f>+J95*G153+E153</f>
        <v>0</v>
      </c>
      <c r="I153" s="796">
        <f>+J96*G153+E153</f>
        <v>0</v>
      </c>
      <c r="J153" s="793">
        <f t="shared" si="7"/>
        <v>0</v>
      </c>
      <c r="K153" s="793"/>
      <c r="L153" s="813"/>
      <c r="M153" s="793">
        <f t="shared" si="1"/>
        <v>0</v>
      </c>
      <c r="N153" s="813"/>
      <c r="O153" s="793">
        <f t="shared" si="2"/>
        <v>0</v>
      </c>
      <c r="P153" s="793">
        <f t="shared" si="3"/>
        <v>0</v>
      </c>
    </row>
    <row r="154" spans="3:16">
      <c r="C154" s="789" t="str">
        <f>IF(D94="","-",+C153+1)</f>
        <v>-</v>
      </c>
      <c r="D154" s="737">
        <f>F153</f>
        <v>0</v>
      </c>
      <c r="E154" s="790">
        <f t="shared" si="6"/>
        <v>0</v>
      </c>
      <c r="F154" s="790">
        <f t="shared" si="0"/>
        <v>0</v>
      </c>
      <c r="G154" s="737">
        <f t="shared" si="5"/>
        <v>0</v>
      </c>
      <c r="H154" s="795">
        <f>+J95*G154+E154</f>
        <v>0</v>
      </c>
      <c r="I154" s="796">
        <f>+J96*G154+E154</f>
        <v>0</v>
      </c>
      <c r="J154" s="793">
        <f t="shared" si="7"/>
        <v>0</v>
      </c>
      <c r="K154" s="793"/>
      <c r="L154" s="813"/>
      <c r="M154" s="793">
        <f t="shared" si="1"/>
        <v>0</v>
      </c>
      <c r="N154" s="813"/>
      <c r="O154" s="793">
        <f t="shared" si="2"/>
        <v>0</v>
      </c>
      <c r="P154" s="793">
        <f t="shared" si="3"/>
        <v>0</v>
      </c>
    </row>
    <row r="155" spans="3:16">
      <c r="C155" s="789" t="str">
        <f>IF(D94="","-",+C154+1)</f>
        <v>-</v>
      </c>
      <c r="D155" s="737">
        <f t="shared" si="4"/>
        <v>0</v>
      </c>
      <c r="E155" s="790">
        <f t="shared" si="6"/>
        <v>0</v>
      </c>
      <c r="F155" s="790">
        <f t="shared" si="0"/>
        <v>0</v>
      </c>
      <c r="G155" s="737">
        <f t="shared" si="5"/>
        <v>0</v>
      </c>
      <c r="H155" s="795">
        <f>+J95*G155+E155</f>
        <v>0</v>
      </c>
      <c r="I155" s="796">
        <f>+J96*G155+E155</f>
        <v>0</v>
      </c>
      <c r="J155" s="793">
        <f t="shared" si="7"/>
        <v>0</v>
      </c>
      <c r="K155" s="793"/>
      <c r="L155" s="813"/>
      <c r="M155" s="793">
        <f t="shared" si="1"/>
        <v>0</v>
      </c>
      <c r="N155" s="813"/>
      <c r="O155" s="793">
        <f t="shared" si="2"/>
        <v>0</v>
      </c>
      <c r="P155" s="793">
        <f t="shared" si="3"/>
        <v>0</v>
      </c>
    </row>
    <row r="156" spans="3:16">
      <c r="C156" s="789" t="str">
        <f>IF(D94="","-",+C155+1)</f>
        <v>-</v>
      </c>
      <c r="D156" s="737">
        <f t="shared" si="4"/>
        <v>0</v>
      </c>
      <c r="E156" s="790">
        <f t="shared" si="6"/>
        <v>0</v>
      </c>
      <c r="F156" s="790">
        <f t="shared" si="0"/>
        <v>0</v>
      </c>
      <c r="G156" s="737">
        <f t="shared" si="5"/>
        <v>0</v>
      </c>
      <c r="H156" s="795">
        <f>+J95*G156+E156</f>
        <v>0</v>
      </c>
      <c r="I156" s="796">
        <f>+J96*G156+E156</f>
        <v>0</v>
      </c>
      <c r="J156" s="793">
        <f t="shared" si="7"/>
        <v>0</v>
      </c>
      <c r="K156" s="793"/>
      <c r="L156" s="813"/>
      <c r="M156" s="793">
        <f t="shared" si="1"/>
        <v>0</v>
      </c>
      <c r="N156" s="813"/>
      <c r="O156" s="793">
        <f t="shared" si="2"/>
        <v>0</v>
      </c>
      <c r="P156" s="793">
        <f t="shared" si="3"/>
        <v>0</v>
      </c>
    </row>
    <row r="157" spans="3:16">
      <c r="C157" s="789" t="str">
        <f>IF(D94="","-",+C156+1)</f>
        <v>-</v>
      </c>
      <c r="D157" s="737">
        <f t="shared" si="4"/>
        <v>0</v>
      </c>
      <c r="E157" s="790">
        <f t="shared" si="6"/>
        <v>0</v>
      </c>
      <c r="F157" s="790">
        <f t="shared" si="0"/>
        <v>0</v>
      </c>
      <c r="G157" s="737">
        <f t="shared" si="5"/>
        <v>0</v>
      </c>
      <c r="H157" s="795">
        <f>+J95*G157+E157</f>
        <v>0</v>
      </c>
      <c r="I157" s="796">
        <f>+J96*G157+E157</f>
        <v>0</v>
      </c>
      <c r="J157" s="793">
        <f t="shared" si="7"/>
        <v>0</v>
      </c>
      <c r="K157" s="793"/>
      <c r="L157" s="813"/>
      <c r="M157" s="793">
        <f t="shared" si="1"/>
        <v>0</v>
      </c>
      <c r="N157" s="813"/>
      <c r="O157" s="793">
        <f t="shared" si="2"/>
        <v>0</v>
      </c>
      <c r="P157" s="793">
        <f t="shared" si="3"/>
        <v>0</v>
      </c>
    </row>
    <row r="158" spans="3:16">
      <c r="C158" s="789" t="str">
        <f>IF(D94="","-",+C157+1)</f>
        <v>-</v>
      </c>
      <c r="D158" s="737">
        <f t="shared" si="4"/>
        <v>0</v>
      </c>
      <c r="E158" s="790">
        <f t="shared" si="6"/>
        <v>0</v>
      </c>
      <c r="F158" s="790">
        <f t="shared" si="0"/>
        <v>0</v>
      </c>
      <c r="G158" s="737">
        <f t="shared" si="5"/>
        <v>0</v>
      </c>
      <c r="H158" s="795">
        <f>+J95*G158+E158</f>
        <v>0</v>
      </c>
      <c r="I158" s="796">
        <f>+J96*G158+E158</f>
        <v>0</v>
      </c>
      <c r="J158" s="793">
        <f t="shared" si="7"/>
        <v>0</v>
      </c>
      <c r="K158" s="793"/>
      <c r="L158" s="813"/>
      <c r="M158" s="793">
        <f t="shared" si="1"/>
        <v>0</v>
      </c>
      <c r="N158" s="813"/>
      <c r="O158" s="793">
        <f t="shared" si="2"/>
        <v>0</v>
      </c>
      <c r="P158" s="793">
        <f t="shared" si="3"/>
        <v>0</v>
      </c>
    </row>
    <row r="159" spans="3:16" ht="13.5" thickBot="1">
      <c r="C159" s="799" t="str">
        <f>IF(D94="","-",+C158+1)</f>
        <v>-</v>
      </c>
      <c r="D159" s="800">
        <f t="shared" si="4"/>
        <v>0</v>
      </c>
      <c r="E159" s="801">
        <f t="shared" si="6"/>
        <v>0</v>
      </c>
      <c r="F159" s="801">
        <f t="shared" si="0"/>
        <v>0</v>
      </c>
      <c r="G159" s="800">
        <f t="shared" si="5"/>
        <v>0</v>
      </c>
      <c r="H159" s="802">
        <f>+J95*G159+E159</f>
        <v>0</v>
      </c>
      <c r="I159" s="802">
        <f>+J96*G159+E159</f>
        <v>0</v>
      </c>
      <c r="J159" s="803">
        <f t="shared" si="7"/>
        <v>0</v>
      </c>
      <c r="K159" s="793"/>
      <c r="L159" s="814"/>
      <c r="M159" s="803">
        <f t="shared" si="1"/>
        <v>0</v>
      </c>
      <c r="N159" s="814"/>
      <c r="O159" s="803">
        <f t="shared" si="2"/>
        <v>0</v>
      </c>
      <c r="P159" s="803">
        <f t="shared" si="3"/>
        <v>0</v>
      </c>
    </row>
    <row r="160" spans="3:16">
      <c r="C160" s="737" t="s">
        <v>83</v>
      </c>
      <c r="D160" s="731"/>
      <c r="E160" s="731">
        <f>SUM(E100:E159)</f>
        <v>0</v>
      </c>
      <c r="F160" s="731"/>
      <c r="G160" s="731"/>
      <c r="H160" s="731">
        <f>SUM(H100:H159)</f>
        <v>0</v>
      </c>
      <c r="I160" s="731">
        <f>SUM(I100:I159)</f>
        <v>0</v>
      </c>
      <c r="J160" s="731">
        <f>SUM(J100:J159)</f>
        <v>0</v>
      </c>
      <c r="K160" s="731"/>
      <c r="L160" s="731"/>
      <c r="M160" s="731"/>
      <c r="N160" s="731"/>
      <c r="O160" s="731"/>
    </row>
    <row r="161" spans="3:15">
      <c r="D161" s="539"/>
      <c r="E161" s="314"/>
      <c r="F161" s="314"/>
      <c r="G161" s="314"/>
      <c r="H161" s="314"/>
      <c r="I161" s="709"/>
      <c r="J161" s="709"/>
      <c r="K161" s="731"/>
      <c r="L161" s="709"/>
      <c r="M161" s="709"/>
      <c r="N161" s="709"/>
      <c r="O161" s="709"/>
    </row>
    <row r="162" spans="3:15">
      <c r="C162" s="314" t="s">
        <v>13</v>
      </c>
      <c r="D162" s="539"/>
      <c r="E162" s="314"/>
      <c r="F162" s="314"/>
      <c r="G162" s="314"/>
      <c r="H162" s="314"/>
      <c r="I162" s="709"/>
      <c r="J162" s="709"/>
      <c r="K162" s="731"/>
      <c r="L162" s="709"/>
      <c r="M162" s="709"/>
      <c r="N162" s="709"/>
      <c r="O162" s="709"/>
    </row>
    <row r="163" spans="3:15">
      <c r="C163" s="314"/>
      <c r="D163" s="539"/>
      <c r="E163" s="314"/>
      <c r="F163" s="314"/>
      <c r="G163" s="314"/>
      <c r="H163" s="314"/>
      <c r="I163" s="709"/>
      <c r="J163" s="709"/>
      <c r="K163" s="731"/>
      <c r="L163" s="709"/>
      <c r="M163" s="709"/>
      <c r="N163" s="709"/>
      <c r="O163" s="709"/>
    </row>
    <row r="164" spans="3:15">
      <c r="C164" s="750" t="s">
        <v>14</v>
      </c>
      <c r="D164" s="737"/>
      <c r="E164" s="737"/>
      <c r="F164" s="737"/>
      <c r="G164" s="737"/>
      <c r="H164" s="731"/>
      <c r="I164" s="731"/>
      <c r="J164" s="805"/>
      <c r="K164" s="805"/>
      <c r="L164" s="805"/>
      <c r="M164" s="805"/>
      <c r="N164" s="805"/>
      <c r="O164" s="805"/>
    </row>
    <row r="165" spans="3:15">
      <c r="C165" s="736" t="s">
        <v>263</v>
      </c>
      <c r="D165" s="737"/>
      <c r="E165" s="737"/>
      <c r="F165" s="737"/>
      <c r="G165" s="737"/>
      <c r="H165" s="731"/>
      <c r="I165" s="731"/>
      <c r="J165" s="805"/>
      <c r="K165" s="805"/>
      <c r="L165" s="805"/>
      <c r="M165" s="805"/>
      <c r="N165" s="805"/>
      <c r="O165" s="805"/>
    </row>
    <row r="166" spans="3:15">
      <c r="C166" s="736" t="s">
        <v>84</v>
      </c>
      <c r="D166" s="737"/>
      <c r="E166" s="737"/>
      <c r="F166" s="737"/>
      <c r="G166" s="737"/>
      <c r="H166" s="731"/>
      <c r="I166" s="731"/>
      <c r="J166" s="805"/>
      <c r="K166" s="805"/>
      <c r="L166" s="805"/>
      <c r="M166" s="805"/>
      <c r="N166" s="805"/>
      <c r="O166" s="805"/>
    </row>
  </sheetData>
  <mergeCells count="11">
    <mergeCell ref="L93:O93"/>
    <mergeCell ref="D89:I89"/>
    <mergeCell ref="C51:D52"/>
    <mergeCell ref="C60:D61"/>
    <mergeCell ref="C71:D72"/>
    <mergeCell ref="J77:P80"/>
    <mergeCell ref="A3:P3"/>
    <mergeCell ref="C11:I12"/>
    <mergeCell ref="A4:P4"/>
    <mergeCell ref="A5:P5"/>
    <mergeCell ref="A6:P6"/>
  </mergeCells>
  <phoneticPr fontId="0" type="noConversion"/>
  <conditionalFormatting sqref="C100:C159">
    <cfRule type="cellIs" dxfId="4" priority="11" stopIfTrue="1" operator="equal">
      <formula>$J$92</formula>
    </cfRule>
  </conditionalFormatting>
  <pageMargins left="0.26" right="1.28" top="0.72" bottom="0.72" header="0.75" footer="0.5"/>
  <pageSetup scale="41" fitToHeight="2" orientation="landscape" r:id="rId1"/>
  <headerFooter alignWithMargins="0">
    <oddHeader>&amp;R&amp;"Arial,Bold"Formula Rate 
&amp;A
Page &amp;P of &amp;N</oddHeader>
  </headerFooter>
  <rowBreaks count="1" manualBreakCount="1">
    <brk id="80" max="15"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pageSetUpPr fitToPage="1"/>
  </sheetPr>
  <dimension ref="A1:E10"/>
  <sheetViews>
    <sheetView zoomScaleNormal="75" workbookViewId="0">
      <selection activeCell="A3" sqref="A3"/>
    </sheetView>
  </sheetViews>
  <sheetFormatPr defaultRowHeight="12.75"/>
  <cols>
    <col min="1" max="1" width="9.140625" style="15"/>
    <col min="2" max="2" width="40.140625" style="92" customWidth="1"/>
    <col min="3" max="3" width="31.5703125" style="89" customWidth="1"/>
    <col min="4" max="4" width="14.85546875" style="89" customWidth="1"/>
    <col min="5" max="5" width="18" style="89" customWidth="1"/>
    <col min="6" max="16384" width="9.140625" style="89"/>
  </cols>
  <sheetData>
    <row r="1" spans="1:5" ht="15.75">
      <c r="A1" s="1005" t="s">
        <v>406</v>
      </c>
    </row>
    <row r="2" spans="1:5" ht="15.75">
      <c r="A2" s="1005" t="s">
        <v>406</v>
      </c>
    </row>
    <row r="3" spans="1:5" ht="15">
      <c r="B3" s="1489" t="str">
        <f>TCOS!$F$5</f>
        <v>AEPTCo subsidiaries in PJM</v>
      </c>
      <c r="C3" s="1489" t="str">
        <f>TCOS!$F$5</f>
        <v>AEPTCo subsidiaries in PJM</v>
      </c>
      <c r="D3" s="1489" t="str">
        <f>TCOS!$F$5</f>
        <v>AEPTCo subsidiaries in PJM</v>
      </c>
      <c r="E3" s="1489" t="str">
        <f>TCOS!$F$5</f>
        <v>AEPTCo subsidiaries in PJM</v>
      </c>
    </row>
    <row r="4" spans="1:5" ht="15">
      <c r="B4" s="1482" t="str">
        <f>"Cost of Service Formula Rate Using Actual/Projected FF1 Balances"</f>
        <v>Cost of Service Formula Rate Using Actual/Projected FF1 Balances</v>
      </c>
      <c r="C4" s="1482"/>
      <c r="D4" s="1482"/>
      <c r="E4" s="1482"/>
    </row>
    <row r="5" spans="1:5" ht="15">
      <c r="B5" s="1489" t="s">
        <v>589</v>
      </c>
      <c r="C5" s="1489"/>
      <c r="D5" s="1489"/>
      <c r="E5" s="1489"/>
    </row>
    <row r="6" spans="1:5" ht="15">
      <c r="B6" s="1492" t="str">
        <f>+TCOS!F9</f>
        <v>AEP Appalachian Transmission Company</v>
      </c>
      <c r="C6" s="1489"/>
      <c r="D6" s="1489"/>
      <c r="E6" s="1489"/>
    </row>
    <row r="8" spans="1:5" ht="18.75" customHeight="1">
      <c r="B8" s="8" t="s">
        <v>406</v>
      </c>
      <c r="C8" s="76"/>
      <c r="D8" s="91"/>
    </row>
    <row r="9" spans="1:5">
      <c r="B9" s="90"/>
      <c r="C9" s="76"/>
      <c r="D9" s="91"/>
    </row>
    <row r="10" spans="1:5">
      <c r="B10" s="92" t="s">
        <v>553</v>
      </c>
    </row>
  </sheetData>
  <mergeCells count="4">
    <mergeCell ref="B6:E6"/>
    <mergeCell ref="B3:E3"/>
    <mergeCell ref="B4:E4"/>
    <mergeCell ref="B5:E5"/>
  </mergeCells>
  <phoneticPr fontId="0" type="noConversion"/>
  <pageMargins left="0.61" right="1" top="1.22" bottom="1" header="0.87" footer="0.5"/>
  <pageSetup scale="73" orientation="portrait" r:id="rId1"/>
  <headerFooter alignWithMargins="0">
    <oddHeader>&amp;R&amp;"Arial,Bold"Formula Rate 
&amp;A
Page &amp;P of &amp;N</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pageSetUpPr fitToPage="1"/>
  </sheetPr>
  <dimension ref="A1:L76"/>
  <sheetViews>
    <sheetView topLeftCell="A35" zoomScale="90" zoomScaleNormal="90" zoomScaleSheetLayoutView="70" workbookViewId="0">
      <selection activeCell="G63" sqref="G63"/>
    </sheetView>
  </sheetViews>
  <sheetFormatPr defaultColWidth="11.42578125" defaultRowHeight="12.75"/>
  <cols>
    <col min="1" max="1" width="10.28515625" style="1188" customWidth="1"/>
    <col min="2" max="2" width="52.28515625" style="1161" customWidth="1"/>
    <col min="3" max="7" width="20.28515625" style="1161" customWidth="1"/>
    <col min="8" max="8" width="23" style="1161" customWidth="1"/>
    <col min="9" max="11" width="20.28515625" style="1161" customWidth="1"/>
    <col min="12" max="12" width="20" style="1161" customWidth="1"/>
    <col min="13" max="14" width="15.140625" style="1161" customWidth="1"/>
    <col min="15" max="16384" width="11.42578125" style="1161"/>
  </cols>
  <sheetData>
    <row r="1" spans="1:12" ht="15">
      <c r="A1" s="1548" t="str">
        <f>TCOS!F5</f>
        <v>AEPTCo subsidiaries in PJM</v>
      </c>
      <c r="B1" s="1548" t="s">
        <v>321</v>
      </c>
      <c r="C1" s="1548" t="s">
        <v>321</v>
      </c>
      <c r="D1" s="1548" t="s">
        <v>321</v>
      </c>
      <c r="E1" s="1548" t="s">
        <v>321</v>
      </c>
      <c r="F1" s="1548" t="s">
        <v>321</v>
      </c>
      <c r="G1" s="1548" t="s">
        <v>321</v>
      </c>
      <c r="H1" s="1160"/>
    </row>
    <row r="2" spans="1:12" ht="15">
      <c r="A2" s="1482" t="str">
        <f>"Cost of Service Formula Rate Using Actual/Projected FF1 Balances"</f>
        <v>Cost of Service Formula Rate Using Actual/Projected FF1 Balances</v>
      </c>
      <c r="B2" s="1482"/>
      <c r="C2" s="1482"/>
      <c r="D2" s="1482"/>
      <c r="E2" s="1482"/>
      <c r="F2" s="1482"/>
      <c r="G2" s="1482"/>
      <c r="H2" s="1162"/>
      <c r="I2" s="1162"/>
      <c r="J2" s="1162"/>
      <c r="L2" s="1163"/>
    </row>
    <row r="3" spans="1:12" ht="15">
      <c r="A3" s="1482" t="s">
        <v>732</v>
      </c>
      <c r="B3" s="1482"/>
      <c r="C3" s="1482"/>
      <c r="D3" s="1482"/>
      <c r="E3" s="1482"/>
      <c r="F3" s="1482"/>
      <c r="G3" s="1482"/>
      <c r="H3" s="1162"/>
      <c r="I3" s="1162"/>
      <c r="J3" s="1162"/>
    </row>
    <row r="4" spans="1:12" ht="15">
      <c r="A4" s="1488" t="str">
        <f>TCOS!F9</f>
        <v>AEP Appalachian Transmission Company</v>
      </c>
      <c r="B4" s="1488"/>
      <c r="C4" s="1488"/>
      <c r="D4" s="1488"/>
      <c r="E4" s="1488"/>
      <c r="F4" s="1488"/>
      <c r="G4" s="1488"/>
      <c r="H4" s="1162"/>
      <c r="I4" s="1162"/>
      <c r="J4" s="1162"/>
    </row>
    <row r="5" spans="1:12">
      <c r="A5" s="1162"/>
      <c r="B5" s="1164"/>
      <c r="C5" s="1164"/>
      <c r="D5" s="1164"/>
      <c r="E5" s="1165"/>
      <c r="F5" s="1166"/>
      <c r="H5" s="1016"/>
      <c r="I5" s="1016"/>
      <c r="J5" s="1016"/>
      <c r="K5" s="1016"/>
      <c r="L5" s="1016"/>
    </row>
    <row r="6" spans="1:12" ht="12.75" customHeight="1">
      <c r="A6" s="1160"/>
      <c r="B6" s="1079"/>
      <c r="C6" s="1483" t="s">
        <v>331</v>
      </c>
      <c r="D6" s="1484"/>
      <c r="E6" s="1484"/>
      <c r="F6" s="1484"/>
      <c r="G6" s="1485"/>
      <c r="H6" s="1167"/>
      <c r="I6" s="1016"/>
      <c r="J6" s="1016"/>
      <c r="K6" s="1016"/>
      <c r="L6" s="1016"/>
    </row>
    <row r="7" spans="1:12" s="1170" customFormat="1" ht="38.25">
      <c r="A7" s="1168" t="s">
        <v>701</v>
      </c>
      <c r="B7" s="1084" t="s">
        <v>702</v>
      </c>
      <c r="C7" s="1114" t="s">
        <v>733</v>
      </c>
      <c r="D7" s="1085" t="s">
        <v>163</v>
      </c>
      <c r="E7" s="1085" t="s">
        <v>734</v>
      </c>
      <c r="F7" s="1085" t="s">
        <v>735</v>
      </c>
      <c r="G7" s="1169" t="s">
        <v>331</v>
      </c>
      <c r="H7" s="1167"/>
      <c r="I7" s="1016"/>
      <c r="J7" s="1016"/>
      <c r="K7" s="1016"/>
      <c r="L7" s="1016"/>
    </row>
    <row r="8" spans="1:12" s="1173" customFormat="1">
      <c r="A8" s="1171"/>
      <c r="B8" s="1089" t="s">
        <v>706</v>
      </c>
      <c r="C8" s="1115" t="s">
        <v>724</v>
      </c>
      <c r="D8" s="1090" t="s">
        <v>725</v>
      </c>
      <c r="E8" s="1090" t="s">
        <v>707</v>
      </c>
      <c r="F8" s="1090" t="s">
        <v>708</v>
      </c>
      <c r="G8" s="1172" t="s">
        <v>736</v>
      </c>
      <c r="H8" s="1167"/>
      <c r="I8" s="1016"/>
      <c r="J8" s="1016"/>
      <c r="K8" s="1016"/>
      <c r="L8" s="1016"/>
    </row>
    <row r="9" spans="1:12" s="1173" customFormat="1" ht="44.25" customHeight="1">
      <c r="A9" s="1171"/>
      <c r="B9" s="1089" t="s">
        <v>712</v>
      </c>
      <c r="C9" s="1174" t="s">
        <v>737</v>
      </c>
      <c r="D9" s="1093" t="s">
        <v>738</v>
      </c>
      <c r="E9" s="1093" t="s">
        <v>739</v>
      </c>
      <c r="F9" s="1093" t="s">
        <v>740</v>
      </c>
      <c r="G9" s="1175"/>
      <c r="H9" s="1167"/>
      <c r="I9" s="1016"/>
      <c r="J9" s="1016"/>
      <c r="K9" s="1016"/>
      <c r="L9" s="1016"/>
    </row>
    <row r="10" spans="1:12">
      <c r="A10" s="1171">
        <v>1</v>
      </c>
      <c r="B10" s="1095" t="s">
        <v>713</v>
      </c>
      <c r="C10" s="1176">
        <v>59805225.897338904</v>
      </c>
      <c r="D10" s="1176">
        <v>0</v>
      </c>
      <c r="E10" s="1176">
        <v>0</v>
      </c>
      <c r="F10" s="1176">
        <v>0</v>
      </c>
      <c r="G10" s="1177">
        <f>+C10-D10-E10-F10</f>
        <v>59805225.897338904</v>
      </c>
      <c r="H10" s="1167"/>
      <c r="I10" s="1016"/>
      <c r="J10" s="1016"/>
      <c r="K10" s="1016"/>
      <c r="L10" s="1016"/>
    </row>
    <row r="11" spans="1:12">
      <c r="A11" s="1171">
        <f>+A10+1</f>
        <v>2</v>
      </c>
      <c r="B11" s="1095" t="s">
        <v>566</v>
      </c>
      <c r="C11" s="1176">
        <v>60391767.788117997</v>
      </c>
      <c r="D11" s="1301">
        <v>0</v>
      </c>
      <c r="E11" s="1301">
        <v>0</v>
      </c>
      <c r="F11" s="1301">
        <v>0</v>
      </c>
      <c r="G11" s="1177">
        <f t="shared" ref="G11:G22" si="0">+C11-D11-E11-F11</f>
        <v>60391767.788117997</v>
      </c>
      <c r="H11" s="1167"/>
      <c r="I11" s="1016"/>
      <c r="J11" s="1016"/>
      <c r="K11" s="1016"/>
      <c r="L11" s="1016"/>
    </row>
    <row r="12" spans="1:12">
      <c r="A12" s="1171">
        <f t="shared" ref="A12:A23" si="1">+A11+1</f>
        <v>3</v>
      </c>
      <c r="B12" s="1097" t="s">
        <v>567</v>
      </c>
      <c r="C12" s="1176">
        <v>60876343.179807805</v>
      </c>
      <c r="D12" s="1301">
        <v>0</v>
      </c>
      <c r="E12" s="1301">
        <v>0</v>
      </c>
      <c r="F12" s="1301">
        <v>0</v>
      </c>
      <c r="G12" s="1177">
        <f t="shared" si="0"/>
        <v>60876343.179807805</v>
      </c>
      <c r="H12" s="1167"/>
      <c r="I12" s="1016"/>
      <c r="J12" s="1016"/>
      <c r="K12" s="1016"/>
      <c r="L12" s="1016"/>
    </row>
    <row r="13" spans="1:12">
      <c r="A13" s="1171">
        <f t="shared" si="1"/>
        <v>4</v>
      </c>
      <c r="B13" s="1097" t="s">
        <v>714</v>
      </c>
      <c r="C13" s="1176">
        <v>61463691.896846697</v>
      </c>
      <c r="D13" s="1301">
        <v>0</v>
      </c>
      <c r="E13" s="1301">
        <v>0</v>
      </c>
      <c r="F13" s="1301">
        <v>0</v>
      </c>
      <c r="G13" s="1177">
        <f t="shared" si="0"/>
        <v>61463691.896846697</v>
      </c>
      <c r="H13" s="1167"/>
      <c r="I13" s="1016"/>
      <c r="J13" s="1016"/>
      <c r="K13" s="1016"/>
      <c r="L13" s="1016"/>
    </row>
    <row r="14" spans="1:12">
      <c r="A14" s="1171">
        <f t="shared" si="1"/>
        <v>5</v>
      </c>
      <c r="B14" s="1097" t="s">
        <v>569</v>
      </c>
      <c r="C14" s="1176">
        <v>62020352.859228797</v>
      </c>
      <c r="D14" s="1301">
        <v>0</v>
      </c>
      <c r="E14" s="1301">
        <v>0</v>
      </c>
      <c r="F14" s="1301">
        <v>0</v>
      </c>
      <c r="G14" s="1177">
        <f t="shared" si="0"/>
        <v>62020352.859228797</v>
      </c>
      <c r="H14" s="1167"/>
      <c r="I14" s="1016"/>
      <c r="J14" s="1016"/>
      <c r="K14" s="1016"/>
      <c r="L14" s="1016"/>
    </row>
    <row r="15" spans="1:12">
      <c r="A15" s="1171">
        <f t="shared" si="1"/>
        <v>6</v>
      </c>
      <c r="B15" s="1097" t="s">
        <v>570</v>
      </c>
      <c r="C15" s="1176">
        <v>61609376.5348984</v>
      </c>
      <c r="D15" s="1301">
        <v>0</v>
      </c>
      <c r="E15" s="1301">
        <v>0</v>
      </c>
      <c r="F15" s="1301">
        <v>0</v>
      </c>
      <c r="G15" s="1177">
        <f t="shared" si="0"/>
        <v>61609376.5348984</v>
      </c>
      <c r="H15" s="1167"/>
      <c r="I15" s="1016"/>
      <c r="J15" s="1016"/>
      <c r="K15" s="1016"/>
      <c r="L15" s="1016"/>
    </row>
    <row r="16" spans="1:12">
      <c r="A16" s="1171">
        <f t="shared" si="1"/>
        <v>7</v>
      </c>
      <c r="B16" s="1097" t="s">
        <v>571</v>
      </c>
      <c r="C16" s="1176">
        <v>62150047.5200665</v>
      </c>
      <c r="D16" s="1301">
        <v>0</v>
      </c>
      <c r="E16" s="1301">
        <v>0</v>
      </c>
      <c r="F16" s="1301">
        <v>0</v>
      </c>
      <c r="G16" s="1177">
        <f t="shared" si="0"/>
        <v>62150047.5200665</v>
      </c>
      <c r="H16" s="1167"/>
      <c r="I16" s="1016"/>
      <c r="J16" s="1016"/>
      <c r="K16" s="1016"/>
      <c r="L16" s="1016"/>
    </row>
    <row r="17" spans="1:12">
      <c r="A17" s="1171">
        <f t="shared" si="1"/>
        <v>8</v>
      </c>
      <c r="B17" s="1097" t="s">
        <v>572</v>
      </c>
      <c r="C17" s="1176">
        <v>62734721.679203399</v>
      </c>
      <c r="D17" s="1301">
        <v>0</v>
      </c>
      <c r="E17" s="1301">
        <v>0</v>
      </c>
      <c r="F17" s="1301">
        <v>0</v>
      </c>
      <c r="G17" s="1177">
        <f t="shared" si="0"/>
        <v>62734721.679203399</v>
      </c>
      <c r="H17" s="1167"/>
      <c r="I17" s="1016"/>
      <c r="J17" s="1016"/>
      <c r="K17" s="1016"/>
      <c r="L17" s="1016"/>
    </row>
    <row r="18" spans="1:12">
      <c r="A18" s="1171">
        <f t="shared" si="1"/>
        <v>9</v>
      </c>
      <c r="B18" s="1097" t="s">
        <v>715</v>
      </c>
      <c r="C18" s="1176">
        <v>62323369.609916598</v>
      </c>
      <c r="D18" s="1301">
        <v>0</v>
      </c>
      <c r="E18" s="1301">
        <v>0</v>
      </c>
      <c r="F18" s="1301">
        <v>0</v>
      </c>
      <c r="G18" s="1177">
        <f t="shared" si="0"/>
        <v>62323369.609916598</v>
      </c>
      <c r="H18" s="1167"/>
      <c r="I18" s="1016"/>
      <c r="J18" s="1016"/>
      <c r="K18" s="1016"/>
      <c r="L18" s="1016"/>
    </row>
    <row r="19" spans="1:12">
      <c r="A19" s="1171">
        <f t="shared" si="1"/>
        <v>10</v>
      </c>
      <c r="B19" s="1097" t="s">
        <v>574</v>
      </c>
      <c r="C19" s="1176">
        <v>62869169.237314805</v>
      </c>
      <c r="D19" s="1301">
        <v>0</v>
      </c>
      <c r="E19" s="1301">
        <v>0</v>
      </c>
      <c r="F19" s="1301">
        <v>0</v>
      </c>
      <c r="G19" s="1177">
        <f t="shared" si="0"/>
        <v>62869169.237314805</v>
      </c>
      <c r="H19" s="1167"/>
      <c r="I19" s="1016"/>
      <c r="J19" s="1016"/>
      <c r="K19" s="1016"/>
      <c r="L19" s="1016"/>
    </row>
    <row r="20" spans="1:12">
      <c r="A20" s="1171">
        <f t="shared" si="1"/>
        <v>11</v>
      </c>
      <c r="B20" s="1097" t="s">
        <v>575</v>
      </c>
      <c r="C20" s="1176">
        <v>63451020.121951401</v>
      </c>
      <c r="D20" s="1301">
        <v>0</v>
      </c>
      <c r="E20" s="1301">
        <v>0</v>
      </c>
      <c r="F20" s="1301">
        <v>0</v>
      </c>
      <c r="G20" s="1177">
        <f t="shared" si="0"/>
        <v>63451020.121951401</v>
      </c>
      <c r="H20" s="1167"/>
      <c r="I20" s="1016"/>
      <c r="J20" s="1016"/>
      <c r="K20" s="1016"/>
      <c r="L20" s="1016"/>
    </row>
    <row r="21" spans="1:12">
      <c r="A21" s="1171">
        <f t="shared" si="1"/>
        <v>12</v>
      </c>
      <c r="B21" s="1097" t="s">
        <v>576</v>
      </c>
      <c r="C21" s="1176">
        <v>62995124.384458601</v>
      </c>
      <c r="D21" s="1301">
        <v>0</v>
      </c>
      <c r="E21" s="1301">
        <v>0</v>
      </c>
      <c r="F21" s="1301">
        <v>0</v>
      </c>
      <c r="G21" s="1177">
        <f t="shared" si="0"/>
        <v>62995124.384458601</v>
      </c>
      <c r="H21" s="1167"/>
      <c r="I21" s="1016"/>
      <c r="J21" s="1016"/>
      <c r="K21" s="1016"/>
      <c r="L21" s="1016"/>
    </row>
    <row r="22" spans="1:12">
      <c r="A22" s="1178">
        <f t="shared" si="1"/>
        <v>13</v>
      </c>
      <c r="B22" s="1099" t="s">
        <v>716</v>
      </c>
      <c r="C22" s="1176">
        <v>63567742.436512806</v>
      </c>
      <c r="D22" s="1176">
        <v>0</v>
      </c>
      <c r="E22" s="1176">
        <v>0</v>
      </c>
      <c r="F22" s="1176">
        <v>0</v>
      </c>
      <c r="G22" s="1177">
        <f t="shared" si="0"/>
        <v>63567742.436512806</v>
      </c>
      <c r="H22" s="1167"/>
      <c r="I22" s="1016"/>
      <c r="J22" s="1016"/>
      <c r="K22" s="1016"/>
      <c r="L22" s="1016"/>
    </row>
    <row r="23" spans="1:12" ht="13.5" thickBot="1">
      <c r="A23" s="1178">
        <f t="shared" si="1"/>
        <v>14</v>
      </c>
      <c r="B23" s="1100" t="s">
        <v>717</v>
      </c>
      <c r="C23" s="1124">
        <f>(SUM(C10:C22)/13)</f>
        <v>62019842.54966636</v>
      </c>
      <c r="D23" s="1124">
        <f t="shared" ref="D23:F23" si="2">(SUM(D10:D22)/13)</f>
        <v>0</v>
      </c>
      <c r="E23" s="1124">
        <f t="shared" si="2"/>
        <v>0</v>
      </c>
      <c r="F23" s="1124">
        <f t="shared" si="2"/>
        <v>0</v>
      </c>
      <c r="G23" s="1124">
        <f>ROUND(SUM(G10:G22)/13,-3)</f>
        <v>62020000</v>
      </c>
      <c r="H23" s="1319"/>
      <c r="I23" s="1016"/>
      <c r="J23" s="1016"/>
      <c r="K23" s="1016"/>
      <c r="L23" s="1016"/>
    </row>
    <row r="24" spans="1:12" ht="13.5" thickTop="1">
      <c r="A24" s="1160"/>
      <c r="B24" s="1103"/>
      <c r="C24" s="1104"/>
      <c r="D24" s="1105"/>
      <c r="E24" s="1105"/>
      <c r="F24" s="1105"/>
      <c r="G24" s="1104"/>
      <c r="H24" s="1104"/>
      <c r="I24" s="1016"/>
      <c r="J24" s="1016"/>
      <c r="K24" s="1016"/>
      <c r="L24" s="1016"/>
    </row>
    <row r="25" spans="1:12" ht="12.75" customHeight="1">
      <c r="A25" s="1160"/>
      <c r="B25" s="1079"/>
      <c r="C25" s="1549" t="s">
        <v>532</v>
      </c>
      <c r="D25" s="1550"/>
      <c r="E25" s="1550"/>
      <c r="F25" s="1550"/>
      <c r="G25" s="1550"/>
      <c r="H25" s="1551"/>
      <c r="I25" s="1016"/>
      <c r="J25" s="1016"/>
      <c r="K25" s="1016"/>
      <c r="L25" s="1016"/>
    </row>
    <row r="26" spans="1:12" s="1170" customFormat="1" ht="38.25">
      <c r="A26" s="1168" t="s">
        <v>701</v>
      </c>
      <c r="B26" s="1084" t="s">
        <v>702</v>
      </c>
      <c r="C26" s="1114" t="s">
        <v>741</v>
      </c>
      <c r="D26" s="1085" t="s">
        <v>742</v>
      </c>
      <c r="E26" s="1085" t="s">
        <v>756</v>
      </c>
      <c r="F26" s="1085" t="s">
        <v>757</v>
      </c>
      <c r="G26" s="1085" t="s">
        <v>743</v>
      </c>
      <c r="H26" s="1169" t="s">
        <v>755</v>
      </c>
      <c r="I26" s="1016"/>
      <c r="J26" s="1016"/>
      <c r="K26" s="1016"/>
      <c r="L26" s="1016"/>
    </row>
    <row r="27" spans="1:12" s="1173" customFormat="1">
      <c r="A27" s="1171"/>
      <c r="B27" s="1089" t="s">
        <v>706</v>
      </c>
      <c r="C27" s="1115" t="s">
        <v>724</v>
      </c>
      <c r="D27" s="1090" t="s">
        <v>725</v>
      </c>
      <c r="E27" s="1090" t="s">
        <v>707</v>
      </c>
      <c r="F27" s="1090" t="s">
        <v>708</v>
      </c>
      <c r="G27" s="1090" t="s">
        <v>744</v>
      </c>
      <c r="H27" s="1172" t="s">
        <v>745</v>
      </c>
      <c r="I27" s="1016"/>
      <c r="J27" s="1016"/>
      <c r="K27" s="1016"/>
      <c r="L27" s="1016"/>
    </row>
    <row r="28" spans="1:12" s="1173" customFormat="1" ht="44.25" customHeight="1">
      <c r="A28" s="1171"/>
      <c r="B28" s="1089" t="s">
        <v>712</v>
      </c>
      <c r="C28" s="1174" t="s">
        <v>746</v>
      </c>
      <c r="D28" s="1093" t="s">
        <v>747</v>
      </c>
      <c r="E28" s="1093" t="s">
        <v>748</v>
      </c>
      <c r="F28" s="1093" t="s">
        <v>749</v>
      </c>
      <c r="G28" s="1093" t="s">
        <v>750</v>
      </c>
      <c r="H28" s="1180"/>
      <c r="I28" s="1016"/>
      <c r="J28" s="1016"/>
      <c r="K28" s="1016"/>
      <c r="L28" s="1016"/>
    </row>
    <row r="29" spans="1:12">
      <c r="A29" s="1171">
        <f>+A23+1</f>
        <v>15</v>
      </c>
      <c r="B29" s="1095" t="s">
        <v>713</v>
      </c>
      <c r="C29" s="1301">
        <v>0</v>
      </c>
      <c r="D29" s="1176">
        <v>0</v>
      </c>
      <c r="E29" s="1176">
        <v>60600000</v>
      </c>
      <c r="F29" s="1176">
        <v>0</v>
      </c>
      <c r="G29" s="1176">
        <v>0</v>
      </c>
      <c r="H29" s="1177">
        <f>+C29-D29+E29+F29-G29</f>
        <v>60600000</v>
      </c>
      <c r="I29" s="1016"/>
      <c r="J29" s="1016"/>
      <c r="K29" s="1016"/>
      <c r="L29" s="1016"/>
    </row>
    <row r="30" spans="1:12">
      <c r="A30" s="1171">
        <f>+A29+1</f>
        <v>16</v>
      </c>
      <c r="B30" s="1095" t="s">
        <v>566</v>
      </c>
      <c r="C30" s="1301">
        <v>0</v>
      </c>
      <c r="D30" s="1301">
        <v>0</v>
      </c>
      <c r="E30" s="1176">
        <v>60600000</v>
      </c>
      <c r="F30" s="1176">
        <v>0</v>
      </c>
      <c r="G30" s="1301">
        <v>0</v>
      </c>
      <c r="H30" s="1177">
        <f t="shared" ref="H30:H41" si="3">+C30-D30+E30+F30-G30</f>
        <v>60600000</v>
      </c>
      <c r="I30" s="1016"/>
      <c r="J30" s="1016"/>
      <c r="K30" s="1016"/>
      <c r="L30" s="1016"/>
    </row>
    <row r="31" spans="1:12">
      <c r="A31" s="1171">
        <f t="shared" ref="A31:A42" si="4">+A30+1</f>
        <v>17</v>
      </c>
      <c r="B31" s="1097" t="s">
        <v>567</v>
      </c>
      <c r="C31" s="1301">
        <v>0</v>
      </c>
      <c r="D31" s="1301">
        <v>0</v>
      </c>
      <c r="E31" s="1176">
        <v>60600000</v>
      </c>
      <c r="F31" s="1176">
        <v>0</v>
      </c>
      <c r="G31" s="1301">
        <v>0</v>
      </c>
      <c r="H31" s="1177">
        <f t="shared" si="3"/>
        <v>60600000</v>
      </c>
      <c r="I31" s="1016"/>
      <c r="J31" s="1016"/>
      <c r="K31" s="1016"/>
      <c r="L31" s="1016"/>
    </row>
    <row r="32" spans="1:12">
      <c r="A32" s="1171">
        <f t="shared" si="4"/>
        <v>18</v>
      </c>
      <c r="B32" s="1097" t="s">
        <v>714</v>
      </c>
      <c r="C32" s="1301">
        <v>0</v>
      </c>
      <c r="D32" s="1301">
        <v>0</v>
      </c>
      <c r="E32" s="1176">
        <v>60600000</v>
      </c>
      <c r="F32" s="1176">
        <v>0</v>
      </c>
      <c r="G32" s="1301">
        <v>0</v>
      </c>
      <c r="H32" s="1177">
        <f t="shared" si="3"/>
        <v>60600000</v>
      </c>
      <c r="I32" s="1016"/>
      <c r="J32" s="1016"/>
      <c r="K32" s="1016"/>
      <c r="L32" s="1016"/>
    </row>
    <row r="33" spans="1:12">
      <c r="A33" s="1171">
        <f t="shared" si="4"/>
        <v>19</v>
      </c>
      <c r="B33" s="1097" t="s">
        <v>569</v>
      </c>
      <c r="C33" s="1301">
        <v>0</v>
      </c>
      <c r="D33" s="1301">
        <v>0</v>
      </c>
      <c r="E33" s="1176">
        <v>60600000</v>
      </c>
      <c r="F33" s="1176">
        <v>0</v>
      </c>
      <c r="G33" s="1301">
        <v>0</v>
      </c>
      <c r="H33" s="1177">
        <f t="shared" si="3"/>
        <v>60600000</v>
      </c>
      <c r="I33" s="1016"/>
      <c r="J33" s="1016"/>
      <c r="K33" s="1016"/>
      <c r="L33" s="1016"/>
    </row>
    <row r="34" spans="1:12">
      <c r="A34" s="1171">
        <f t="shared" si="4"/>
        <v>20</v>
      </c>
      <c r="B34" s="1097" t="s">
        <v>570</v>
      </c>
      <c r="C34" s="1301">
        <v>0</v>
      </c>
      <c r="D34" s="1301">
        <v>0</v>
      </c>
      <c r="E34" s="1176">
        <v>60600000</v>
      </c>
      <c r="F34" s="1176">
        <v>0</v>
      </c>
      <c r="G34" s="1301">
        <v>0</v>
      </c>
      <c r="H34" s="1177">
        <f>+C34-D34+E34+F34-G34</f>
        <v>60600000</v>
      </c>
      <c r="I34" s="1016"/>
      <c r="J34" s="1016"/>
      <c r="K34" s="1016"/>
      <c r="L34" s="1016"/>
    </row>
    <row r="35" spans="1:12">
      <c r="A35" s="1171">
        <f t="shared" si="4"/>
        <v>21</v>
      </c>
      <c r="B35" s="1097" t="s">
        <v>571</v>
      </c>
      <c r="C35" s="1301">
        <v>0</v>
      </c>
      <c r="D35" s="1301">
        <v>0</v>
      </c>
      <c r="E35" s="1176">
        <v>60600000</v>
      </c>
      <c r="F35" s="1176">
        <v>0</v>
      </c>
      <c r="G35" s="1301">
        <v>0</v>
      </c>
      <c r="H35" s="1177">
        <f t="shared" si="3"/>
        <v>60600000</v>
      </c>
      <c r="I35" s="1016"/>
      <c r="J35" s="1016"/>
      <c r="K35" s="1016"/>
      <c r="L35" s="1016"/>
    </row>
    <row r="36" spans="1:12">
      <c r="A36" s="1171">
        <f t="shared" si="4"/>
        <v>22</v>
      </c>
      <c r="B36" s="1097" t="s">
        <v>572</v>
      </c>
      <c r="C36" s="1301">
        <v>0</v>
      </c>
      <c r="D36" s="1301">
        <v>0</v>
      </c>
      <c r="E36" s="1176">
        <v>60600000</v>
      </c>
      <c r="F36" s="1176">
        <v>0</v>
      </c>
      <c r="G36" s="1301">
        <v>0</v>
      </c>
      <c r="H36" s="1177">
        <f t="shared" si="3"/>
        <v>60600000</v>
      </c>
      <c r="I36" s="1016"/>
      <c r="J36" s="1016"/>
      <c r="K36" s="1016"/>
      <c r="L36" s="1016"/>
    </row>
    <row r="37" spans="1:12">
      <c r="A37" s="1171">
        <f t="shared" si="4"/>
        <v>23</v>
      </c>
      <c r="B37" s="1097" t="s">
        <v>715</v>
      </c>
      <c r="C37" s="1301">
        <v>0</v>
      </c>
      <c r="D37" s="1301">
        <v>0</v>
      </c>
      <c r="E37" s="1176">
        <v>60600000</v>
      </c>
      <c r="F37" s="1176">
        <v>0</v>
      </c>
      <c r="G37" s="1301">
        <v>0</v>
      </c>
      <c r="H37" s="1177">
        <f t="shared" si="3"/>
        <v>60600000</v>
      </c>
      <c r="I37" s="1016"/>
      <c r="J37" s="1016"/>
      <c r="K37" s="1016"/>
      <c r="L37" s="1016"/>
    </row>
    <row r="38" spans="1:12">
      <c r="A38" s="1171">
        <f t="shared" si="4"/>
        <v>24</v>
      </c>
      <c r="B38" s="1097" t="s">
        <v>574</v>
      </c>
      <c r="C38" s="1301">
        <v>0</v>
      </c>
      <c r="D38" s="1301">
        <v>0</v>
      </c>
      <c r="E38" s="1176">
        <v>60600000</v>
      </c>
      <c r="F38" s="1176">
        <v>0</v>
      </c>
      <c r="G38" s="1301">
        <v>0</v>
      </c>
      <c r="H38" s="1177">
        <f t="shared" si="3"/>
        <v>60600000</v>
      </c>
      <c r="I38" s="1016"/>
      <c r="J38" s="1016"/>
      <c r="K38" s="1016"/>
      <c r="L38" s="1016"/>
    </row>
    <row r="39" spans="1:12">
      <c r="A39" s="1171">
        <f t="shared" si="4"/>
        <v>25</v>
      </c>
      <c r="B39" s="1097" t="s">
        <v>575</v>
      </c>
      <c r="C39" s="1301">
        <v>0</v>
      </c>
      <c r="D39" s="1301">
        <v>0</v>
      </c>
      <c r="E39" s="1176">
        <v>60600000</v>
      </c>
      <c r="F39" s="1176">
        <v>0</v>
      </c>
      <c r="G39" s="1301">
        <v>0</v>
      </c>
      <c r="H39" s="1177">
        <f t="shared" si="3"/>
        <v>60600000</v>
      </c>
      <c r="I39" s="1016"/>
      <c r="J39" s="1016"/>
      <c r="K39" s="1016"/>
      <c r="L39" s="1016"/>
    </row>
    <row r="40" spans="1:12">
      <c r="A40" s="1171">
        <f t="shared" si="4"/>
        <v>26</v>
      </c>
      <c r="B40" s="1097" t="s">
        <v>576</v>
      </c>
      <c r="C40" s="1301">
        <v>0</v>
      </c>
      <c r="D40" s="1301">
        <v>0</v>
      </c>
      <c r="E40" s="1176">
        <v>60600000</v>
      </c>
      <c r="F40" s="1176">
        <v>0</v>
      </c>
      <c r="G40" s="1301">
        <v>0</v>
      </c>
      <c r="H40" s="1177">
        <f t="shared" si="3"/>
        <v>60600000</v>
      </c>
      <c r="I40" s="1016"/>
      <c r="J40" s="1016"/>
      <c r="K40" s="1016"/>
      <c r="L40" s="1016"/>
    </row>
    <row r="41" spans="1:12">
      <c r="A41" s="1178">
        <f t="shared" si="4"/>
        <v>27</v>
      </c>
      <c r="B41" s="1099" t="s">
        <v>716</v>
      </c>
      <c r="C41" s="1176">
        <v>0</v>
      </c>
      <c r="D41" s="1176">
        <v>0</v>
      </c>
      <c r="E41" s="1176">
        <v>60600000</v>
      </c>
      <c r="F41" s="1176">
        <v>0</v>
      </c>
      <c r="G41" s="1176">
        <v>0</v>
      </c>
      <c r="H41" s="1177">
        <f t="shared" si="3"/>
        <v>60600000</v>
      </c>
      <c r="I41" s="1016"/>
      <c r="J41" s="1016"/>
      <c r="K41" s="1016"/>
      <c r="L41" s="1016"/>
    </row>
    <row r="42" spans="1:12" ht="13.5" thickBot="1">
      <c r="A42" s="1182">
        <f t="shared" si="4"/>
        <v>28</v>
      </c>
      <c r="B42" s="1108" t="s">
        <v>717</v>
      </c>
      <c r="C42" s="1124">
        <f t="shared" ref="C42:G42" si="5">(SUM(C29:C41)/13)</f>
        <v>0</v>
      </c>
      <c r="D42" s="1124">
        <f t="shared" si="5"/>
        <v>0</v>
      </c>
      <c r="E42" s="1124">
        <f t="shared" si="5"/>
        <v>60600000</v>
      </c>
      <c r="F42" s="1124">
        <f t="shared" si="5"/>
        <v>0</v>
      </c>
      <c r="G42" s="1124">
        <f t="shared" si="5"/>
        <v>0</v>
      </c>
      <c r="H42" s="1179">
        <f t="shared" ref="H42" si="6">ROUND(SUM(H29:H41)/13,-3)</f>
        <v>60600000</v>
      </c>
      <c r="I42" s="1016"/>
      <c r="J42" s="1016"/>
      <c r="K42" s="1016"/>
      <c r="L42" s="1016"/>
    </row>
    <row r="43" spans="1:12" ht="13.5" thickTop="1">
      <c r="A43" s="1162"/>
      <c r="B43" s="1183"/>
      <c r="C43" s="1184"/>
      <c r="D43" s="1185"/>
      <c r="E43" s="1185"/>
      <c r="F43" s="1185"/>
      <c r="G43" s="1184"/>
      <c r="H43" s="1184"/>
      <c r="I43" s="1016"/>
      <c r="J43" s="1016"/>
      <c r="K43" s="1016"/>
      <c r="L43" s="1016"/>
    </row>
    <row r="44" spans="1:12" ht="12.75" customHeight="1">
      <c r="A44" s="1186" t="s">
        <v>751</v>
      </c>
      <c r="F44" s="1187"/>
      <c r="G44" s="1187"/>
      <c r="H44" s="1187"/>
      <c r="I44" s="1016"/>
      <c r="J44" s="1016"/>
      <c r="K44" s="1016"/>
    </row>
    <row r="45" spans="1:12">
      <c r="E45" s="1187"/>
      <c r="F45" s="1187"/>
      <c r="G45" s="1187"/>
      <c r="H45" s="1187"/>
      <c r="J45" s="1183"/>
    </row>
    <row r="46" spans="1:12" ht="15">
      <c r="A46" s="1189" t="s">
        <v>332</v>
      </c>
      <c r="E46" s="1187"/>
      <c r="F46" s="1187"/>
      <c r="G46" s="1187"/>
      <c r="H46" s="1160"/>
    </row>
    <row r="47" spans="1:12" ht="15">
      <c r="A47" s="1189"/>
      <c r="B47" s="1190" t="s">
        <v>706</v>
      </c>
      <c r="C47" s="1190" t="s">
        <v>724</v>
      </c>
      <c r="D47" s="1191" t="s">
        <v>725</v>
      </c>
      <c r="E47" s="1190" t="s">
        <v>707</v>
      </c>
      <c r="F47" s="1191" t="s">
        <v>708</v>
      </c>
      <c r="G47" s="1190" t="s">
        <v>744</v>
      </c>
      <c r="H47" s="1190" t="s">
        <v>752</v>
      </c>
    </row>
    <row r="48" spans="1:12">
      <c r="A48" s="720">
        <f>+A42+1</f>
        <v>29</v>
      </c>
      <c r="B48" s="1192" t="str">
        <f>"Annual Interest Expense for "&amp;TCOS!L4</f>
        <v>Annual Interest Expense for 2025</v>
      </c>
      <c r="C48" s="1193"/>
      <c r="D48" s="1194"/>
      <c r="E48" s="1195"/>
      <c r="F48" s="1195"/>
      <c r="G48" s="1195"/>
      <c r="H48" s="1195"/>
      <c r="I48" s="1195"/>
      <c r="J48" s="1195"/>
      <c r="K48" s="1195"/>
      <c r="L48" s="1195"/>
    </row>
    <row r="49" spans="1:12">
      <c r="A49" s="720">
        <f>+A48+1</f>
        <v>30</v>
      </c>
      <c r="B49" s="1268" t="s">
        <v>771</v>
      </c>
      <c r="C49" s="1193"/>
      <c r="D49" s="1194"/>
      <c r="E49" s="1197">
        <v>2258900</v>
      </c>
      <c r="F49" s="1195"/>
      <c r="G49" s="1195"/>
      <c r="H49" s="1195"/>
      <c r="I49" s="1195"/>
      <c r="J49" s="1195"/>
      <c r="K49" s="1195"/>
      <c r="L49" s="1195"/>
    </row>
    <row r="50" spans="1:12" ht="28.5" customHeight="1">
      <c r="A50" s="720">
        <f t="shared" ref="A50:A55" si="7">+A49+1</f>
        <v>31</v>
      </c>
      <c r="B50" s="1552" t="str">
        <f>"Less: Total Hedge Gain/Expense Accumulated from p 256-257, col. (i) of FERC Form 1  included in Ln "&amp;A49&amp;" and shown in "&amp;A68&amp;" below."</f>
        <v>Less: Total Hedge Gain/Expense Accumulated from p 256-257, col. (i) of FERC Form 1  included in Ln 30 and shown in 43 below.</v>
      </c>
      <c r="C50" s="1553"/>
      <c r="D50" s="1194"/>
      <c r="E50" s="1193">
        <f>+C68</f>
        <v>0</v>
      </c>
      <c r="F50" s="1195"/>
      <c r="G50" s="1195"/>
      <c r="H50" s="1195"/>
      <c r="I50" s="1195"/>
      <c r="J50" s="1195"/>
      <c r="K50" s="1195"/>
      <c r="L50" s="1195"/>
    </row>
    <row r="51" spans="1:12">
      <c r="A51" s="720">
        <f t="shared" si="7"/>
        <v>32</v>
      </c>
      <c r="B51" s="1268" t="s">
        <v>772</v>
      </c>
      <c r="C51" s="1269"/>
      <c r="D51" s="1198"/>
      <c r="E51" s="1197">
        <v>0</v>
      </c>
      <c r="F51" s="1195"/>
      <c r="G51" s="1195"/>
      <c r="H51" s="1195"/>
      <c r="I51" s="1195"/>
      <c r="J51" s="1195"/>
    </row>
    <row r="52" spans="1:12">
      <c r="A52" s="720">
        <f t="shared" si="7"/>
        <v>33</v>
      </c>
      <c r="B52" s="1268" t="s">
        <v>773</v>
      </c>
      <c r="C52" s="1199"/>
      <c r="D52" s="1194"/>
      <c r="E52" s="1197">
        <v>0</v>
      </c>
      <c r="F52" s="1195"/>
      <c r="G52" s="1195"/>
      <c r="H52" s="1195"/>
      <c r="I52" s="1195"/>
      <c r="J52" s="1195"/>
    </row>
    <row r="53" spans="1:12">
      <c r="A53" s="720">
        <f t="shared" si="7"/>
        <v>34</v>
      </c>
      <c r="B53" s="1268" t="s">
        <v>774</v>
      </c>
      <c r="C53" s="1199"/>
      <c r="D53" s="1194"/>
      <c r="E53" s="1197">
        <v>0</v>
      </c>
      <c r="F53" s="1195"/>
      <c r="G53" s="1195"/>
      <c r="H53" s="1195"/>
      <c r="I53" s="1195"/>
      <c r="J53" s="1195"/>
    </row>
    <row r="54" spans="1:12" ht="13.5" thickBot="1">
      <c r="A54" s="720">
        <f t="shared" si="7"/>
        <v>35</v>
      </c>
      <c r="B54" s="1268" t="s">
        <v>775</v>
      </c>
      <c r="C54" s="1199"/>
      <c r="D54" s="1194"/>
      <c r="E54" s="1200">
        <v>0</v>
      </c>
      <c r="F54" s="1195"/>
      <c r="G54" s="1195"/>
      <c r="H54" s="1195"/>
      <c r="I54" s="1195"/>
      <c r="J54" s="1195"/>
    </row>
    <row r="55" spans="1:12">
      <c r="A55" s="720">
        <f t="shared" si="7"/>
        <v>36</v>
      </c>
      <c r="B55" s="1192" t="str">
        <f>"Total Interest Expense (Ln "&amp;A49&amp;" - "&amp;A50&amp;" + "&amp;A51&amp;" + "&amp;A52&amp;" - "&amp;A53&amp;" - "&amp;A54&amp;")"</f>
        <v>Total Interest Expense (Ln 30 - 31 + 32 + 33 - 34 - 35)</v>
      </c>
      <c r="C55" s="1201"/>
      <c r="D55" s="1202"/>
      <c r="E55" s="1203">
        <f>+E49-E50+E51+E52-E53-E54</f>
        <v>2258900</v>
      </c>
      <c r="F55" s="1195"/>
      <c r="G55" s="1195"/>
      <c r="H55" s="1195"/>
      <c r="I55" s="1195"/>
      <c r="J55" s="1195"/>
    </row>
    <row r="56" spans="1:12" ht="13.5" thickBot="1">
      <c r="A56" s="720"/>
      <c r="B56" s="1196"/>
      <c r="C56" s="1199"/>
      <c r="D56" s="1194"/>
      <c r="E56" s="1204"/>
      <c r="F56" s="1195"/>
      <c r="G56" s="1195"/>
      <c r="H56" s="1195"/>
      <c r="I56" s="1195"/>
      <c r="J56" s="1195"/>
    </row>
    <row r="57" spans="1:12" ht="13.5" thickBot="1">
      <c r="A57" s="720">
        <f>+A55+1</f>
        <v>37</v>
      </c>
      <c r="B57" s="1192" t="str">
        <f>"Average Cost of Debt for "&amp;TCOS!L4&amp;" (Ln "&amp;A55&amp;"/ ln "&amp;A42&amp;" (g))"</f>
        <v>Average Cost of Debt for 2025 (Ln 36/ ln 28 (g))</v>
      </c>
      <c r="C57" s="1201"/>
      <c r="D57" s="1194"/>
      <c r="E57" s="1205">
        <f>+E55/H42</f>
        <v>3.7275577557755776E-2</v>
      </c>
      <c r="F57" s="1195"/>
      <c r="G57" s="1195"/>
      <c r="H57" s="1195"/>
      <c r="I57" s="1195"/>
      <c r="J57" s="1195"/>
    </row>
    <row r="58" spans="1:12">
      <c r="A58" s="1206"/>
      <c r="B58" s="1196"/>
      <c r="C58" s="1199"/>
      <c r="D58" s="1194"/>
      <c r="E58" s="1199"/>
      <c r="F58" s="1195"/>
      <c r="G58" s="1195"/>
      <c r="H58" s="1195"/>
      <c r="I58" s="1195"/>
      <c r="J58" s="1195"/>
    </row>
    <row r="59" spans="1:12" ht="16.5" customHeight="1">
      <c r="A59" s="1207"/>
      <c r="B59" s="1554" t="s">
        <v>753</v>
      </c>
      <c r="C59" s="1554"/>
      <c r="D59" s="1554"/>
      <c r="E59" s="1554"/>
      <c r="F59" s="1208"/>
      <c r="G59" s="1195"/>
      <c r="H59" s="1195"/>
      <c r="I59" s="1195"/>
      <c r="J59" s="1195"/>
    </row>
    <row r="60" spans="1:12" ht="21" customHeight="1">
      <c r="A60" s="1209">
        <f>+A57+1</f>
        <v>38</v>
      </c>
      <c r="B60" s="1555" t="str">
        <f>""&amp;A4&amp;" may not include costs (or gains) related to interest hedging activities."</f>
        <v>AEP Appalachian Transmission Company may not include costs (or gains) related to interest hedging activities.</v>
      </c>
      <c r="C60" s="1555"/>
      <c r="D60" s="1555"/>
      <c r="E60" s="1555"/>
      <c r="F60" s="1555"/>
      <c r="G60" s="1210"/>
      <c r="H60" s="1210"/>
      <c r="I60" s="1195"/>
      <c r="J60" s="1195"/>
    </row>
    <row r="61" spans="1:12">
      <c r="A61" s="1211"/>
      <c r="B61" s="1212"/>
      <c r="C61" s="1212"/>
      <c r="D61" s="1212"/>
      <c r="E61" s="1556" t="s">
        <v>219</v>
      </c>
      <c r="F61" s="1556"/>
      <c r="G61" s="1016"/>
      <c r="H61" s="1016"/>
      <c r="I61" s="1195"/>
      <c r="J61" s="1195"/>
    </row>
    <row r="62" spans="1:12" ht="38.25">
      <c r="A62" s="720"/>
      <c r="B62" s="1214" t="s">
        <v>220</v>
      </c>
      <c r="C62" s="1214" t="str">
        <f>"(Amortization of (Gain)/Loss for "&amp;TCOS!L4</f>
        <v>(Amortization of (Gain)/Loss for 2025</v>
      </c>
      <c r="D62" s="1213" t="s">
        <v>221</v>
      </c>
      <c r="E62" s="1213" t="s">
        <v>78</v>
      </c>
      <c r="F62" s="1213" t="s">
        <v>80</v>
      </c>
      <c r="G62" s="1016"/>
      <c r="H62" s="1016"/>
      <c r="I62" s="1195"/>
      <c r="J62" s="1195"/>
    </row>
    <row r="63" spans="1:12">
      <c r="A63" s="720">
        <f>+A60+1</f>
        <v>39</v>
      </c>
      <c r="B63" s="1215"/>
      <c r="C63" s="1181"/>
      <c r="D63" s="1215"/>
      <c r="E63" s="1215"/>
      <c r="F63" s="1216"/>
      <c r="G63" s="1016"/>
      <c r="H63" s="1016"/>
      <c r="I63" s="1198"/>
      <c r="J63" s="1198"/>
    </row>
    <row r="64" spans="1:12">
      <c r="A64" s="720">
        <f>+A63+1</f>
        <v>40</v>
      </c>
      <c r="B64" s="1215"/>
      <c r="C64" s="1181"/>
      <c r="D64" s="1215"/>
      <c r="E64" s="1215"/>
      <c r="F64" s="1216"/>
      <c r="G64" s="1217"/>
      <c r="H64" s="1217"/>
      <c r="I64" s="1195"/>
      <c r="J64" s="1195"/>
    </row>
    <row r="65" spans="1:10">
      <c r="A65" s="720">
        <f>+A64+1</f>
        <v>41</v>
      </c>
      <c r="B65" s="1215"/>
      <c r="C65" s="1181"/>
      <c r="D65" s="1218"/>
      <c r="E65" s="1218"/>
      <c r="F65" s="1216"/>
      <c r="G65" s="1217"/>
      <c r="H65" s="1217"/>
      <c r="I65" s="1195"/>
      <c r="J65" s="1195"/>
    </row>
    <row r="66" spans="1:10">
      <c r="A66" s="720">
        <f>+A65+1</f>
        <v>42</v>
      </c>
      <c r="B66" s="1215"/>
      <c r="C66" s="1181"/>
      <c r="D66" s="1218"/>
      <c r="E66" s="1218"/>
      <c r="F66" s="1219"/>
      <c r="G66" s="1220"/>
      <c r="H66" s="1221"/>
      <c r="I66" s="1195"/>
      <c r="J66" s="1195"/>
    </row>
    <row r="67" spans="1:10">
      <c r="A67" s="720"/>
      <c r="B67" s="1222"/>
      <c r="C67" s="1223"/>
      <c r="D67" s="1223"/>
      <c r="E67" s="1224"/>
      <c r="F67" s="1195"/>
      <c r="G67" s="1225"/>
      <c r="H67" s="1225"/>
    </row>
    <row r="68" spans="1:10">
      <c r="A68" s="720">
        <f>+A66+1</f>
        <v>43</v>
      </c>
      <c r="B68" s="1226" t="s">
        <v>245</v>
      </c>
      <c r="C68" s="1204">
        <f>SUM(C63:C67)</f>
        <v>0</v>
      </c>
      <c r="D68" s="1204">
        <f>SUM(D63:D67)</f>
        <v>0</v>
      </c>
      <c r="E68" s="1204">
        <f>SUM(E63:E67)</f>
        <v>0</v>
      </c>
      <c r="F68" s="1227">
        <f>SUM(F63:F67)</f>
        <v>0</v>
      </c>
      <c r="G68" s="1195"/>
      <c r="H68" s="1195"/>
    </row>
    <row r="69" spans="1:10">
      <c r="A69" s="720"/>
      <c r="B69" s="1196"/>
      <c r="C69" s="1204"/>
      <c r="D69" s="1204"/>
      <c r="E69" s="1204"/>
      <c r="F69" s="1195"/>
      <c r="G69" s="1195"/>
      <c r="H69" s="1195"/>
    </row>
    <row r="70" spans="1:10">
      <c r="A70" s="720"/>
      <c r="B70" s="1192"/>
      <c r="C70" s="1199"/>
      <c r="D70" s="1194"/>
      <c r="E70" s="1228"/>
      <c r="F70" s="1195"/>
      <c r="G70" s="1195"/>
      <c r="H70" s="1195"/>
    </row>
    <row r="71" spans="1:10">
      <c r="A71" s="720"/>
      <c r="B71" s="1192"/>
      <c r="C71" s="1199"/>
      <c r="D71" s="1194"/>
      <c r="E71" s="1228"/>
      <c r="F71" s="1195"/>
      <c r="G71" s="1195"/>
      <c r="H71" s="1195"/>
    </row>
    <row r="72" spans="1:10" ht="15">
      <c r="A72" s="1229" t="s">
        <v>337</v>
      </c>
      <c r="B72" s="1192"/>
      <c r="C72" s="1199"/>
      <c r="D72" s="1194"/>
      <c r="E72" s="1228"/>
      <c r="F72" s="1195"/>
      <c r="G72" s="1195"/>
      <c r="H72" s="1195"/>
    </row>
    <row r="73" spans="1:10">
      <c r="A73" s="720"/>
      <c r="B73" s="1192"/>
      <c r="C73" s="1199"/>
      <c r="D73" s="1194"/>
      <c r="E73" s="1228"/>
      <c r="F73" s="1195"/>
      <c r="G73" s="1195"/>
      <c r="H73" s="1195"/>
    </row>
    <row r="74" spans="1:10">
      <c r="A74" s="1230">
        <f>+A68+1</f>
        <v>44</v>
      </c>
      <c r="B74" s="1194" t="str">
        <f>"Balance of Preferred Stock (Line "&amp;A23&amp;" (c))"</f>
        <v>Balance of Preferred Stock (Line 14 (c))</v>
      </c>
      <c r="E74" s="1231">
        <f>+D23</f>
        <v>0</v>
      </c>
    </row>
    <row r="75" spans="1:10">
      <c r="A75" s="720">
        <f>+A74+1</f>
        <v>45</v>
      </c>
      <c r="B75" s="1194" t="s">
        <v>754</v>
      </c>
      <c r="E75" s="1219"/>
    </row>
    <row r="76" spans="1:10">
      <c r="A76" s="720">
        <f>+A75+1</f>
        <v>46</v>
      </c>
      <c r="B76" s="1232" t="str">
        <f>"Average Cost of Preferred Stock (Ln "&amp;A75&amp;" / ln "&amp;A74&amp;")"</f>
        <v>Average Cost of Preferred Stock (Ln 45 / ln 44)</v>
      </c>
      <c r="E76" s="1233" t="e">
        <f>+E75/E74</f>
        <v>#DIV/0!</v>
      </c>
    </row>
  </sheetData>
  <mergeCells count="10">
    <mergeCell ref="B50:C50"/>
    <mergeCell ref="B59:E59"/>
    <mergeCell ref="B60:F60"/>
    <mergeCell ref="E61:F61"/>
    <mergeCell ref="A4:G4"/>
    <mergeCell ref="A1:G1"/>
    <mergeCell ref="A2:G2"/>
    <mergeCell ref="A3:G3"/>
    <mergeCell ref="C6:G6"/>
    <mergeCell ref="C25:H25"/>
  </mergeCells>
  <pageMargins left="0.7" right="0.7" top="0.75" bottom="0.75" header="0.3" footer="0.3"/>
  <pageSetup scale="66" fitToHeight="0" orientation="landscape" cellComments="asDisplayed" r:id="rId1"/>
  <headerFooter>
    <oddHeader xml:space="preserve">&amp;L&amp;"Times New Roman,Bold Italic"Privileged and Confidential 
Subject to FERC Rules 602 and 606 
&amp;RPage &amp;P of &amp;N
</oddHeader>
  </headerFooter>
  <rowBreaks count="1" manualBreakCount="1">
    <brk id="44"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codeName="Sheet19">
    <pageSetUpPr fitToPage="1"/>
  </sheetPr>
  <dimension ref="A1:U34"/>
  <sheetViews>
    <sheetView zoomScale="81" zoomScaleNormal="81" workbookViewId="0">
      <selection activeCell="A3" sqref="A3:O3"/>
    </sheetView>
  </sheetViews>
  <sheetFormatPr defaultRowHeight="12.75"/>
  <cols>
    <col min="2" max="2" width="11.85546875" customWidth="1"/>
    <col min="3" max="3" width="1" customWidth="1"/>
    <col min="8" max="8" width="1.7109375" customWidth="1"/>
    <col min="9" max="9" width="9.85546875" customWidth="1"/>
    <col min="10" max="10" width="1.7109375" customWidth="1"/>
    <col min="11" max="11" width="12.5703125" customWidth="1"/>
    <col min="12" max="12" width="1.7109375" customWidth="1"/>
    <col min="13" max="13" width="13.7109375" customWidth="1"/>
    <col min="14" max="14" width="1.140625" customWidth="1"/>
    <col min="15" max="15" width="14.85546875" customWidth="1"/>
    <col min="16" max="16" width="1.140625" customWidth="1"/>
    <col min="17" max="17" width="12.7109375" customWidth="1"/>
    <col min="18" max="18" width="1.28515625" customWidth="1"/>
    <col min="19" max="19" width="17.5703125" customWidth="1"/>
    <col min="20" max="20" width="1.140625" customWidth="1"/>
    <col min="21" max="21" width="13" customWidth="1"/>
  </cols>
  <sheetData>
    <row r="1" spans="1:21" ht="15.75">
      <c r="A1" s="1005" t="s">
        <v>406</v>
      </c>
    </row>
    <row r="2" spans="1:21" ht="15.75">
      <c r="A2" s="1005" t="s">
        <v>406</v>
      </c>
    </row>
    <row r="3" spans="1:21" ht="18">
      <c r="A3" s="1532" t="str">
        <f>TCOS!$F$5</f>
        <v>AEPTCo subsidiaries in PJM</v>
      </c>
      <c r="B3" s="1532" t="str">
        <f>TCOS!$F$5</f>
        <v>AEPTCo subsidiaries in PJM</v>
      </c>
      <c r="C3" s="1532" t="str">
        <f>TCOS!$F$5</f>
        <v>AEPTCo subsidiaries in PJM</v>
      </c>
      <c r="D3" s="1532" t="str">
        <f>TCOS!$F$5</f>
        <v>AEPTCo subsidiaries in PJM</v>
      </c>
      <c r="E3" s="1532" t="str">
        <f>TCOS!$F$5</f>
        <v>AEPTCo subsidiaries in PJM</v>
      </c>
      <c r="F3" s="1532" t="str">
        <f>TCOS!$F$5</f>
        <v>AEPTCo subsidiaries in PJM</v>
      </c>
      <c r="G3" s="1532" t="str">
        <f>TCOS!$F$5</f>
        <v>AEPTCo subsidiaries in PJM</v>
      </c>
      <c r="H3" s="1532" t="str">
        <f>TCOS!$F$5</f>
        <v>AEPTCo subsidiaries in PJM</v>
      </c>
      <c r="I3" s="1532" t="str">
        <f>TCOS!$F$5</f>
        <v>AEPTCo subsidiaries in PJM</v>
      </c>
      <c r="J3" s="1532" t="str">
        <f>TCOS!$F$5</f>
        <v>AEPTCo subsidiaries in PJM</v>
      </c>
      <c r="K3" s="1532" t="str">
        <f>TCOS!$F$5</f>
        <v>AEPTCo subsidiaries in PJM</v>
      </c>
      <c r="L3" s="1532" t="str">
        <f>TCOS!$F$5</f>
        <v>AEPTCo subsidiaries in PJM</v>
      </c>
      <c r="M3" s="1532" t="str">
        <f>TCOS!$F$5</f>
        <v>AEPTCo subsidiaries in PJM</v>
      </c>
      <c r="N3" s="1532" t="str">
        <f>TCOS!$F$5</f>
        <v>AEPTCo subsidiaries in PJM</v>
      </c>
      <c r="O3" s="1532" t="str">
        <f>TCOS!$F$5</f>
        <v>AEPTCo subsidiaries in PJM</v>
      </c>
    </row>
    <row r="4" spans="1:21" ht="18">
      <c r="A4" s="1531" t="str">
        <f>"Cost of Service Formula Rate Using Actual/Projected FF1 Balances"</f>
        <v>Cost of Service Formula Rate Using Actual/Projected FF1 Balances</v>
      </c>
      <c r="B4" s="1531"/>
      <c r="C4" s="1531"/>
      <c r="D4" s="1531"/>
      <c r="E4" s="1531"/>
      <c r="F4" s="1531"/>
      <c r="G4" s="1531"/>
      <c r="H4" s="1531"/>
      <c r="I4" s="1531"/>
      <c r="J4" s="1531"/>
      <c r="K4" s="1531"/>
      <c r="L4" s="1531"/>
      <c r="M4" s="1531"/>
      <c r="N4" s="1531"/>
      <c r="O4" s="1531"/>
    </row>
    <row r="5" spans="1:21" ht="18">
      <c r="A5" s="1531" t="s">
        <v>24</v>
      </c>
      <c r="B5" s="1531"/>
      <c r="C5" s="1531"/>
      <c r="D5" s="1531"/>
      <c r="E5" s="1531"/>
      <c r="F5" s="1531"/>
      <c r="G5" s="1531"/>
      <c r="H5" s="1531"/>
      <c r="I5" s="1531"/>
      <c r="J5" s="1531"/>
      <c r="K5" s="1531"/>
      <c r="L5" s="1531"/>
      <c r="M5" s="1531"/>
      <c r="N5" s="1531"/>
      <c r="O5" s="1531"/>
    </row>
    <row r="6" spans="1:21" ht="18">
      <c r="A6" s="1523" t="str">
        <f>+TCOS!F9</f>
        <v>AEP Appalachian Transmission Company</v>
      </c>
      <c r="B6" s="1523"/>
      <c r="C6" s="1523"/>
      <c r="D6" s="1523"/>
      <c r="E6" s="1523"/>
      <c r="F6" s="1523"/>
      <c r="G6" s="1523"/>
      <c r="H6" s="1523"/>
      <c r="I6" s="1523"/>
      <c r="J6" s="1523"/>
      <c r="K6" s="1523"/>
      <c r="L6" s="1523"/>
      <c r="M6" s="1523"/>
      <c r="N6" s="1523"/>
      <c r="O6" s="1523"/>
    </row>
    <row r="7" spans="1:21" ht="12.75" customHeight="1">
      <c r="A7" s="81"/>
      <c r="B7" s="81"/>
      <c r="C7" s="81"/>
      <c r="D7" s="81"/>
      <c r="E7" s="81"/>
      <c r="F7" s="81"/>
      <c r="G7" s="81"/>
      <c r="H7" s="81"/>
      <c r="I7" s="81"/>
      <c r="J7" s="81"/>
      <c r="K7" s="81"/>
      <c r="L7" s="81"/>
    </row>
    <row r="8" spans="1:21" ht="12.75" customHeight="1">
      <c r="A8" s="1561" t="s">
        <v>16</v>
      </c>
      <c r="B8" s="1561"/>
      <c r="C8" s="1561"/>
      <c r="D8" s="1561"/>
      <c r="E8" s="1561"/>
      <c r="F8" s="1561"/>
      <c r="G8" s="1561"/>
      <c r="H8" s="1561"/>
      <c r="I8" s="1561"/>
      <c r="J8" s="1561"/>
      <c r="K8" s="1561"/>
      <c r="L8" s="1561"/>
      <c r="M8" s="1561"/>
      <c r="N8" s="1561"/>
      <c r="O8" s="1561"/>
    </row>
    <row r="9" spans="1:21" ht="12.75" customHeight="1">
      <c r="A9" s="1561"/>
      <c r="B9" s="1561"/>
      <c r="C9" s="1561"/>
      <c r="D9" s="1561"/>
      <c r="E9" s="1561"/>
      <c r="F9" s="1561"/>
      <c r="G9" s="1561"/>
      <c r="H9" s="1561"/>
      <c r="I9" s="1561"/>
      <c r="J9" s="1561"/>
      <c r="K9" s="1561"/>
      <c r="L9" s="1561"/>
      <c r="M9" s="1561"/>
      <c r="N9" s="1561"/>
      <c r="O9" s="1561"/>
    </row>
    <row r="10" spans="1:21">
      <c r="A10" s="1561"/>
      <c r="B10" s="1561"/>
      <c r="C10" s="1561"/>
      <c r="D10" s="1561"/>
      <c r="E10" s="1561"/>
      <c r="F10" s="1561"/>
      <c r="G10" s="1561"/>
      <c r="H10" s="1561"/>
      <c r="I10" s="1561"/>
      <c r="J10" s="1561"/>
      <c r="K10" s="1561"/>
      <c r="L10" s="1561"/>
      <c r="M10" s="1561"/>
      <c r="N10" s="1561"/>
      <c r="O10" s="1561"/>
    </row>
    <row r="11" spans="1:21">
      <c r="A11" s="1561"/>
      <c r="B11" s="1561"/>
      <c r="C11" s="1561"/>
      <c r="D11" s="1561"/>
      <c r="E11" s="1561"/>
      <c r="F11" s="1561"/>
      <c r="G11" s="1561"/>
      <c r="H11" s="1561"/>
      <c r="I11" s="1561"/>
      <c r="J11" s="1561"/>
      <c r="K11" s="1561"/>
      <c r="L11" s="1561"/>
      <c r="M11" s="1561"/>
      <c r="N11" s="1561"/>
      <c r="O11" s="1561"/>
    </row>
    <row r="12" spans="1:21">
      <c r="B12" s="1" t="s">
        <v>452</v>
      </c>
      <c r="C12" s="1"/>
      <c r="D12" s="1530" t="s">
        <v>453</v>
      </c>
      <c r="E12" s="1530"/>
      <c r="F12" s="1530"/>
      <c r="G12" s="1530"/>
      <c r="H12" s="1"/>
      <c r="I12" s="1" t="s">
        <v>323</v>
      </c>
      <c r="J12" s="1"/>
      <c r="K12" s="1" t="s">
        <v>455</v>
      </c>
      <c r="L12" s="1"/>
      <c r="M12" s="1" t="s">
        <v>375</v>
      </c>
      <c r="N12" s="1"/>
      <c r="O12" s="1" t="s">
        <v>376</v>
      </c>
      <c r="P12" s="1"/>
      <c r="Q12" s="1" t="s">
        <v>349</v>
      </c>
      <c r="R12" s="1"/>
      <c r="S12" s="1" t="s">
        <v>382</v>
      </c>
      <c r="U12" s="56" t="s">
        <v>288</v>
      </c>
    </row>
    <row r="13" spans="1:21">
      <c r="I13" s="1558" t="s">
        <v>347</v>
      </c>
      <c r="Q13" s="1557" t="s">
        <v>348</v>
      </c>
      <c r="S13" s="1558" t="s">
        <v>350</v>
      </c>
      <c r="U13" s="139" t="s">
        <v>265</v>
      </c>
    </row>
    <row r="14" spans="1:21">
      <c r="A14" s="84" t="s">
        <v>346</v>
      </c>
      <c r="B14" s="84" t="s">
        <v>342</v>
      </c>
      <c r="C14" s="84"/>
      <c r="D14" s="102" t="s">
        <v>343</v>
      </c>
      <c r="E14" s="84"/>
      <c r="F14" s="84"/>
      <c r="G14" s="84"/>
      <c r="H14" s="84"/>
      <c r="I14" s="1560"/>
      <c r="J14" s="84"/>
      <c r="K14" s="84" t="s">
        <v>344</v>
      </c>
      <c r="L14" s="84"/>
      <c r="M14" s="84" t="s">
        <v>345</v>
      </c>
      <c r="N14" s="84"/>
      <c r="O14" s="84" t="s">
        <v>282</v>
      </c>
      <c r="Q14" s="1557"/>
      <c r="S14" s="1558"/>
      <c r="U14" s="139" t="s">
        <v>102</v>
      </c>
    </row>
    <row r="15" spans="1:21">
      <c r="A15" s="84"/>
      <c r="B15" s="84"/>
      <c r="C15" s="84"/>
      <c r="D15" s="102"/>
      <c r="E15" s="84"/>
      <c r="F15" s="84"/>
      <c r="G15" s="84"/>
      <c r="H15" s="84"/>
      <c r="I15" s="2" t="s">
        <v>280</v>
      </c>
      <c r="J15" s="84"/>
      <c r="K15" s="84"/>
      <c r="L15" s="84"/>
      <c r="M15" s="84"/>
      <c r="N15" s="84"/>
      <c r="O15" s="84"/>
      <c r="Q15" s="111"/>
      <c r="S15" s="84" t="s">
        <v>282</v>
      </c>
    </row>
    <row r="16" spans="1:21">
      <c r="I16" t="s">
        <v>281</v>
      </c>
    </row>
    <row r="17" spans="1:21">
      <c r="A17" s="1">
        <v>1</v>
      </c>
      <c r="B17" s="858"/>
      <c r="D17" s="1559"/>
      <c r="E17" s="1559"/>
      <c r="F17" s="1559"/>
      <c r="G17" s="1559"/>
      <c r="I17" s="859"/>
      <c r="K17" s="857"/>
      <c r="L17" s="75"/>
      <c r="M17" s="857"/>
      <c r="O17" s="88">
        <f>+K17-M17</f>
        <v>0</v>
      </c>
      <c r="Q17" s="104">
        <f>IF(I17="G",TCOS!L219,IF(I17="T",1,0))</f>
        <v>0</v>
      </c>
      <c r="S17" s="88">
        <f>ROUND(O17*Q17,0)</f>
        <v>0</v>
      </c>
      <c r="U17" s="860"/>
    </row>
    <row r="18" spans="1:21">
      <c r="A18" s="1"/>
      <c r="D18" s="1559"/>
      <c r="E18" s="1559"/>
      <c r="F18" s="1559"/>
      <c r="G18" s="1559"/>
      <c r="K18" s="75"/>
      <c r="L18" s="75"/>
      <c r="M18" s="75"/>
      <c r="O18" s="75"/>
      <c r="Q18" s="104"/>
      <c r="S18" s="75"/>
    </row>
    <row r="19" spans="1:21">
      <c r="A19" s="1"/>
      <c r="D19" s="1559"/>
      <c r="E19" s="1559"/>
      <c r="F19" s="1559"/>
      <c r="G19" s="1559"/>
      <c r="K19" s="75"/>
      <c r="L19" s="75"/>
      <c r="M19" s="75"/>
      <c r="O19" s="75"/>
      <c r="Q19" s="104"/>
      <c r="S19" s="75"/>
    </row>
    <row r="20" spans="1:21">
      <c r="A20" s="1"/>
      <c r="K20" s="75"/>
      <c r="L20" s="75"/>
      <c r="M20" s="75"/>
      <c r="O20" s="75"/>
      <c r="Q20" s="104"/>
      <c r="S20" s="75"/>
    </row>
    <row r="21" spans="1:21">
      <c r="A21" s="1"/>
      <c r="K21" s="75"/>
      <c r="L21" s="75"/>
      <c r="M21" s="75"/>
      <c r="O21" s="75"/>
      <c r="Q21" s="104"/>
      <c r="S21" s="75"/>
    </row>
    <row r="22" spans="1:21" ht="12" customHeight="1">
      <c r="A22" s="1">
        <f>+A17+1</f>
        <v>2</v>
      </c>
      <c r="B22" s="858"/>
      <c r="D22" s="1559"/>
      <c r="E22" s="1559"/>
      <c r="F22" s="1559"/>
      <c r="G22" s="1559"/>
      <c r="I22" s="859"/>
      <c r="K22" s="857"/>
      <c r="L22" s="75"/>
      <c r="M22" s="857"/>
      <c r="O22" s="88">
        <f>+K22-M22</f>
        <v>0</v>
      </c>
      <c r="Q22" s="104">
        <f>IF(I22="G",TCOS!L219,IF(I22="T",1,0))</f>
        <v>0</v>
      </c>
      <c r="S22" s="88">
        <f>ROUND(O22*Q22,0)</f>
        <v>0</v>
      </c>
      <c r="U22" s="860"/>
    </row>
    <row r="23" spans="1:21">
      <c r="A23" s="1"/>
      <c r="D23" s="1559"/>
      <c r="E23" s="1559"/>
      <c r="F23" s="1559"/>
      <c r="G23" s="1559"/>
      <c r="K23" s="75"/>
      <c r="L23" s="75"/>
      <c r="M23" s="75"/>
      <c r="O23" s="75"/>
      <c r="Q23" s="104"/>
      <c r="S23" s="75"/>
    </row>
    <row r="24" spans="1:21">
      <c r="A24" s="1"/>
      <c r="D24" s="1559"/>
      <c r="E24" s="1559"/>
      <c r="F24" s="1559"/>
      <c r="G24" s="1559"/>
      <c r="K24" s="75"/>
      <c r="L24" s="75"/>
      <c r="M24" s="75"/>
      <c r="O24" s="75"/>
      <c r="Q24" s="104"/>
      <c r="S24" s="75"/>
    </row>
    <row r="25" spans="1:21">
      <c r="A25" s="1"/>
      <c r="I25" s="1"/>
      <c r="K25" s="75"/>
      <c r="L25" s="75"/>
      <c r="M25" s="75"/>
      <c r="O25" s="75"/>
      <c r="Q25" s="104"/>
      <c r="S25" s="75"/>
    </row>
    <row r="26" spans="1:21">
      <c r="A26" s="1"/>
      <c r="I26" s="1"/>
      <c r="K26" s="75"/>
      <c r="L26" s="75"/>
      <c r="M26" s="75"/>
      <c r="O26" s="75"/>
      <c r="Q26" s="104"/>
      <c r="S26" s="75"/>
    </row>
    <row r="27" spans="1:21">
      <c r="A27" s="1">
        <f>+A22+1</f>
        <v>3</v>
      </c>
      <c r="B27" s="858"/>
      <c r="D27" s="1559"/>
      <c r="E27" s="1559"/>
      <c r="F27" s="1559"/>
      <c r="G27" s="1559"/>
      <c r="I27" s="859"/>
      <c r="K27" s="857"/>
      <c r="L27" s="75"/>
      <c r="M27" s="857"/>
      <c r="O27" s="88">
        <f>+K27-M27</f>
        <v>0</v>
      </c>
      <c r="Q27" s="104">
        <f>IF(I27="G",TCOS!L219,IF(I27="T",1,0))</f>
        <v>0</v>
      </c>
      <c r="S27" s="88">
        <f>ROUND(O27*Q27,0)</f>
        <v>0</v>
      </c>
      <c r="U27" s="860"/>
    </row>
    <row r="28" spans="1:21">
      <c r="A28" s="1"/>
      <c r="D28" s="1559"/>
      <c r="E28" s="1559"/>
      <c r="F28" s="1559"/>
      <c r="G28" s="1559"/>
      <c r="K28" s="75"/>
      <c r="L28" s="75"/>
      <c r="M28" s="75"/>
      <c r="O28" s="75"/>
      <c r="Q28" s="104"/>
      <c r="S28" s="75"/>
    </row>
    <row r="29" spans="1:21">
      <c r="A29" s="1"/>
      <c r="D29" s="1559"/>
      <c r="E29" s="1559"/>
      <c r="F29" s="1559"/>
      <c r="G29" s="1559"/>
      <c r="K29" s="75"/>
      <c r="L29" s="75"/>
      <c r="M29" s="75"/>
      <c r="O29" s="75"/>
      <c r="Q29" s="104"/>
    </row>
    <row r="30" spans="1:21">
      <c r="A30" s="1"/>
      <c r="O30" s="75"/>
      <c r="Q30" s="104"/>
    </row>
    <row r="31" spans="1:21">
      <c r="A31" s="1"/>
      <c r="O31" s="75"/>
      <c r="Q31" s="104"/>
    </row>
    <row r="32" spans="1:21">
      <c r="A32" s="1"/>
      <c r="O32" s="75"/>
      <c r="Q32" s="104"/>
    </row>
    <row r="33" spans="1:19" ht="13.5" thickBot="1">
      <c r="A33" s="1">
        <f>+A27+1</f>
        <v>4</v>
      </c>
      <c r="K33" t="str">
        <f>"Net (Gain) or Loss for "&amp;TCOS!O3&amp;""</f>
        <v xml:space="preserve">Net (Gain) or Loss for  </v>
      </c>
      <c r="O33" s="109">
        <f>SUM(O17:O27)</f>
        <v>0</v>
      </c>
      <c r="Q33" s="110"/>
      <c r="S33" s="109">
        <f>SUM(S17:S27)</f>
        <v>0</v>
      </c>
    </row>
    <row r="34" spans="1:19" ht="13.5" thickTop="1">
      <c r="A34" s="1"/>
      <c r="O34" s="75"/>
      <c r="Q34" s="110"/>
    </row>
  </sheetData>
  <mergeCells count="12">
    <mergeCell ref="A3:O3"/>
    <mergeCell ref="A4:O4"/>
    <mergeCell ref="A5:O5"/>
    <mergeCell ref="I13:I14"/>
    <mergeCell ref="D12:G12"/>
    <mergeCell ref="A6:O6"/>
    <mergeCell ref="A8:O11"/>
    <mergeCell ref="Q13:Q14"/>
    <mergeCell ref="S13:S14"/>
    <mergeCell ref="D17:G19"/>
    <mergeCell ref="D22:G24"/>
    <mergeCell ref="D27:G29"/>
  </mergeCells>
  <phoneticPr fontId="88" type="noConversion"/>
  <pageMargins left="0.75" right="0.75" top="1" bottom="1" header="0.75" footer="0.5"/>
  <pageSetup scale="76" orientation="landscape" r:id="rId1"/>
  <headerFooter alignWithMargins="0">
    <oddHeader>&amp;R&amp;"Arial,Bold"Formula Rate 
&amp;A
Page &amp;P of &amp;N</oddHead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20">
    <tabColor theme="0" tint="-0.14999847407452621"/>
  </sheetPr>
  <dimension ref="A1:F37"/>
  <sheetViews>
    <sheetView view="pageBreakPreview" zoomScale="90" zoomScaleNormal="80" zoomScaleSheetLayoutView="90" workbookViewId="0">
      <selection activeCell="D19" sqref="D19"/>
    </sheetView>
  </sheetViews>
  <sheetFormatPr defaultColWidth="11.42578125" defaultRowHeight="12.75"/>
  <cols>
    <col min="1" max="1" width="37.85546875" style="1272" customWidth="1"/>
    <col min="2" max="2" width="25.42578125" style="1272" customWidth="1"/>
    <col min="3" max="3" width="53.42578125" style="1272" customWidth="1"/>
    <col min="4" max="4" width="18.42578125" style="1272" customWidth="1"/>
    <col min="5" max="5" width="11.42578125" style="1272" customWidth="1"/>
    <col min="6" max="6" width="13.7109375" style="1272" bestFit="1" customWidth="1"/>
    <col min="7" max="16384" width="11.42578125" style="1272"/>
  </cols>
  <sheetData>
    <row r="1" spans="1:6" ht="15.75">
      <c r="A1" s="1271" t="s">
        <v>406</v>
      </c>
    </row>
    <row r="2" spans="1:6" ht="15.75">
      <c r="A2" s="1271" t="s">
        <v>406</v>
      </c>
    </row>
    <row r="3" spans="1:6" ht="15.75">
      <c r="A3" s="1563" t="str">
        <f>TCOS!F5</f>
        <v>AEPTCo subsidiaries in PJM</v>
      </c>
      <c r="B3" s="1563" t="s">
        <v>321</v>
      </c>
      <c r="C3" s="1563" t="s">
        <v>321</v>
      </c>
      <c r="D3" s="1563" t="s">
        <v>321</v>
      </c>
    </row>
    <row r="4" spans="1:6" ht="15.75">
      <c r="A4" s="1563" t="str">
        <f>"Cost of Service Formula Rate Using Actual/Projected FF1 Balances"</f>
        <v>Cost of Service Formula Rate Using Actual/Projected FF1 Balances</v>
      </c>
      <c r="B4" s="1563"/>
      <c r="C4" s="1563"/>
      <c r="D4" s="1563"/>
    </row>
    <row r="5" spans="1:6" ht="15.75">
      <c r="A5" s="1563" t="s">
        <v>778</v>
      </c>
      <c r="B5" s="1563"/>
      <c r="C5" s="1563"/>
      <c r="D5" s="1563"/>
    </row>
    <row r="6" spans="1:6" ht="15.75">
      <c r="A6" s="1563" t="s">
        <v>779</v>
      </c>
      <c r="B6" s="1563"/>
      <c r="C6" s="1563"/>
      <c r="D6" s="1563"/>
    </row>
    <row r="7" spans="1:6" ht="15.75">
      <c r="A7" s="1564" t="str">
        <f>TCOS!F9</f>
        <v>AEP Appalachian Transmission Company</v>
      </c>
      <c r="B7" s="1564"/>
      <c r="C7" s="1564"/>
      <c r="D7" s="1564"/>
    </row>
    <row r="8" spans="1:6" ht="15.75">
      <c r="A8" s="1274"/>
      <c r="B8" s="1275"/>
      <c r="C8" s="1275"/>
      <c r="D8" s="1275"/>
    </row>
    <row r="9" spans="1:6" ht="15.75">
      <c r="A9" s="1276"/>
      <c r="B9" s="1277"/>
      <c r="C9" s="1277"/>
      <c r="D9" s="1277"/>
    </row>
    <row r="10" spans="1:6" ht="15.75">
      <c r="A10" s="1278"/>
      <c r="B10" s="1278"/>
      <c r="C10" s="1278"/>
      <c r="D10" s="1278"/>
    </row>
    <row r="11" spans="1:6" ht="15.75">
      <c r="A11" s="1279" t="s">
        <v>780</v>
      </c>
      <c r="B11" s="1277" t="s">
        <v>452</v>
      </c>
      <c r="C11" s="1280"/>
      <c r="D11" s="1277" t="s">
        <v>453</v>
      </c>
    </row>
    <row r="12" spans="1:6" ht="15.75">
      <c r="A12" s="1273">
        <f>1</f>
        <v>1</v>
      </c>
      <c r="B12" s="1281" t="s">
        <v>781</v>
      </c>
      <c r="C12" s="1282"/>
      <c r="D12" s="1273"/>
    </row>
    <row r="13" spans="1:6" ht="15.75">
      <c r="A13" s="1273"/>
      <c r="B13" s="1281"/>
      <c r="C13" s="1282"/>
      <c r="D13" s="1273"/>
    </row>
    <row r="14" spans="1:6" ht="15.75">
      <c r="A14" s="1273"/>
      <c r="B14" s="1283"/>
      <c r="C14" s="1283"/>
      <c r="D14" s="1283"/>
    </row>
    <row r="15" spans="1:6" ht="15.75">
      <c r="A15" s="1273">
        <f>A12+1</f>
        <v>2</v>
      </c>
      <c r="B15" s="1284" t="s">
        <v>782</v>
      </c>
      <c r="C15" s="1285"/>
      <c r="D15" s="1286"/>
    </row>
    <row r="16" spans="1:6" ht="15.75">
      <c r="A16" s="1273">
        <f t="shared" ref="A16:A23" si="0">+A15+1</f>
        <v>3</v>
      </c>
      <c r="B16" s="1287" t="s">
        <v>783</v>
      </c>
      <c r="C16" s="1287"/>
      <c r="D16" s="1400">
        <v>-107301486</v>
      </c>
      <c r="F16" s="1288"/>
    </row>
    <row r="17" spans="1:6" ht="15.75">
      <c r="A17" s="1273">
        <f t="shared" si="0"/>
        <v>4</v>
      </c>
      <c r="B17" s="1287" t="s">
        <v>784</v>
      </c>
      <c r="C17" s="1287"/>
      <c r="D17" s="1401">
        <v>0</v>
      </c>
      <c r="F17" s="1288"/>
    </row>
    <row r="18" spans="1:6" ht="15.75">
      <c r="A18" s="1273">
        <f t="shared" si="0"/>
        <v>5</v>
      </c>
      <c r="B18" s="1287" t="s">
        <v>785</v>
      </c>
      <c r="C18" s="1287"/>
      <c r="D18" s="1401">
        <f>+D16-D17</f>
        <v>-107301486</v>
      </c>
    </row>
    <row r="19" spans="1:6" ht="15.75">
      <c r="A19" s="1273">
        <f t="shared" si="0"/>
        <v>6</v>
      </c>
      <c r="B19" s="1287" t="s">
        <v>786</v>
      </c>
      <c r="C19" s="1287"/>
      <c r="D19" s="1400">
        <v>1641378842.3199933</v>
      </c>
    </row>
    <row r="20" spans="1:6" ht="15.75">
      <c r="A20" s="1273">
        <f t="shared" si="0"/>
        <v>7</v>
      </c>
      <c r="B20" s="1287" t="s">
        <v>787</v>
      </c>
      <c r="C20" s="1287"/>
      <c r="D20" s="1402">
        <f>+D18/D19</f>
        <v>-6.5372772716099842E-2</v>
      </c>
    </row>
    <row r="21" spans="1:6" ht="15.75">
      <c r="A21" s="1273">
        <f t="shared" si="0"/>
        <v>8</v>
      </c>
      <c r="B21" s="1287" t="s">
        <v>788</v>
      </c>
      <c r="C21" s="1287"/>
      <c r="D21" s="1403">
        <v>-7.8E-2</v>
      </c>
      <c r="E21" s="1289"/>
    </row>
    <row r="22" spans="1:6" ht="15.75">
      <c r="A22" s="1273">
        <f t="shared" si="0"/>
        <v>9</v>
      </c>
      <c r="B22" s="1287" t="s">
        <v>789</v>
      </c>
      <c r="C22" s="1287"/>
      <c r="D22" s="1404">
        <v>340566.19431948179</v>
      </c>
    </row>
    <row r="23" spans="1:6" ht="15.75">
      <c r="A23" s="1273">
        <f t="shared" si="0"/>
        <v>10</v>
      </c>
      <c r="B23" s="1287" t="str">
        <f>"Allowable TransCo PBOP Expense for current year (Ln "&amp;A21&amp;" * Ln "&amp;A22&amp;")"</f>
        <v>Allowable TransCo PBOP Expense for current year (Ln 8 * Ln 9)</v>
      </c>
      <c r="C23" s="1287"/>
      <c r="D23" s="1405">
        <f>+D21*D22</f>
        <v>-26564.163156919578</v>
      </c>
    </row>
    <row r="24" spans="1:6" ht="15.75">
      <c r="A24" s="1273"/>
      <c r="B24" s="1287"/>
      <c r="C24" s="1287"/>
      <c r="D24" s="1405"/>
    </row>
    <row r="25" spans="1:6" ht="15.75">
      <c r="A25" s="1273"/>
      <c r="B25" s="1287"/>
      <c r="C25" s="1287"/>
      <c r="D25" s="1405"/>
    </row>
    <row r="26" spans="1:6" ht="15.75">
      <c r="A26" s="1273">
        <f>+A23+1</f>
        <v>11</v>
      </c>
      <c r="B26" s="1290" t="s">
        <v>790</v>
      </c>
      <c r="C26" s="1287"/>
      <c r="D26" s="1406">
        <v>0</v>
      </c>
    </row>
    <row r="27" spans="1:6" ht="15.75">
      <c r="A27" s="1273">
        <f>+A26+1</f>
        <v>12</v>
      </c>
      <c r="B27" s="1291" t="s">
        <v>791</v>
      </c>
      <c r="C27" s="1287"/>
      <c r="D27" s="1406">
        <v>0</v>
      </c>
    </row>
    <row r="28" spans="1:6" ht="15.75">
      <c r="A28" s="1273">
        <f>+A27+1</f>
        <v>13</v>
      </c>
      <c r="B28" s="1291" t="s">
        <v>792</v>
      </c>
      <c r="C28" s="1287"/>
      <c r="D28" s="1406">
        <v>0</v>
      </c>
    </row>
    <row r="29" spans="1:6" ht="16.5" thickBot="1">
      <c r="A29" s="1292">
        <f>+A28+1</f>
        <v>14</v>
      </c>
      <c r="B29" s="1293" t="s">
        <v>793</v>
      </c>
      <c r="C29" s="1294"/>
      <c r="D29" s="1407">
        <v>-60729.077938140035</v>
      </c>
    </row>
    <row r="30" spans="1:6" ht="15.75">
      <c r="A30" s="1273">
        <f>+A29+1</f>
        <v>15</v>
      </c>
      <c r="B30" s="1283" t="s">
        <v>794</v>
      </c>
      <c r="C30" s="1283" t="str">
        <f>"(Sum Lines "&amp;A26&amp;"-"&amp;A29&amp;")"</f>
        <v>(Sum Lines 11-14)</v>
      </c>
      <c r="D30" s="1295">
        <f>SUM(D26:D29)</f>
        <v>-60729.077938140035</v>
      </c>
    </row>
    <row r="31" spans="1:6" ht="15.75">
      <c r="A31" s="1273"/>
      <c r="B31" s="1283"/>
      <c r="C31" s="1283"/>
      <c r="D31" s="1295"/>
    </row>
    <row r="32" spans="1:6" ht="15.75">
      <c r="A32" s="1273"/>
      <c r="B32" s="1283"/>
      <c r="C32" s="1283"/>
      <c r="D32" s="1295"/>
    </row>
    <row r="33" spans="1:4" s="1297" customFormat="1" ht="15.75">
      <c r="A33" s="1273">
        <f>A30+1</f>
        <v>16</v>
      </c>
      <c r="B33" s="1283" t="s">
        <v>795</v>
      </c>
      <c r="C33" s="1283" t="str">
        <f>"Line "&amp;A23&amp;" less Line "&amp;A30&amp;""</f>
        <v>Line 10 less Line 15</v>
      </c>
      <c r="D33" s="1296">
        <f>D23-D30</f>
        <v>34164.914781220461</v>
      </c>
    </row>
    <row r="34" spans="1:4" s="1297" customFormat="1" ht="15.75">
      <c r="A34" s="1273"/>
      <c r="B34" s="1283"/>
      <c r="C34" s="1283"/>
      <c r="D34" s="1296"/>
    </row>
    <row r="35" spans="1:4" ht="15.75">
      <c r="A35" s="1291" t="s">
        <v>796</v>
      </c>
    </row>
    <row r="37" spans="1:4" ht="387.75" customHeight="1">
      <c r="A37" s="1562" t="s">
        <v>797</v>
      </c>
      <c r="B37" s="1562"/>
      <c r="C37" s="1562"/>
      <c r="D37" s="1562"/>
    </row>
  </sheetData>
  <mergeCells count="6">
    <mergeCell ref="A37:D37"/>
    <mergeCell ref="A3:D3"/>
    <mergeCell ref="A4:D4"/>
    <mergeCell ref="A5:D5"/>
    <mergeCell ref="A6:D6"/>
    <mergeCell ref="A7:D7"/>
  </mergeCells>
  <pageMargins left="0.25" right="0.33" top="0.78" bottom="0.43" header="0.5" footer="0.21"/>
  <pageSetup scale="68" fitToHeight="0" orientation="portrait" r:id="rId1"/>
  <headerFooter alignWithMargins="0">
    <oddHeader>&amp;R
&amp;A&amp;"Arial,Bold"
&amp;"Arial,Regular"Page &amp;P of &amp;N</oddHead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ransitionEvaluation="1" codeName="Sheet21">
    <pageSetUpPr fitToPage="1"/>
  </sheetPr>
  <dimension ref="A1:G49"/>
  <sheetViews>
    <sheetView defaultGridColor="0" view="pageBreakPreview" topLeftCell="A3" colorId="22" zoomScale="85" zoomScaleNormal="70" zoomScaleSheetLayoutView="85" workbookViewId="0">
      <selection activeCell="B29" sqref="B29:B36"/>
    </sheetView>
  </sheetViews>
  <sheetFormatPr defaultColWidth="14.7109375" defaultRowHeight="15"/>
  <cols>
    <col min="1" max="1" width="5.7109375" style="862" customWidth="1"/>
    <col min="2" max="2" width="42.5703125" style="862" customWidth="1"/>
    <col min="3" max="3" width="17.28515625" style="862" bestFit="1" customWidth="1"/>
    <col min="4" max="4" width="16.85546875" style="862" customWidth="1"/>
    <col min="5" max="5" width="18" style="862" customWidth="1"/>
    <col min="6" max="7" width="16.28515625" style="862" bestFit="1" customWidth="1"/>
    <col min="8" max="8" width="14.7109375" style="862" customWidth="1"/>
    <col min="9" max="256" width="14.7109375" style="862"/>
    <col min="257" max="257" width="5.7109375" style="862" customWidth="1"/>
    <col min="258" max="258" width="42.5703125" style="862" customWidth="1"/>
    <col min="259" max="259" width="17.28515625" style="862" bestFit="1" customWidth="1"/>
    <col min="260" max="260" width="16.85546875" style="862" customWidth="1"/>
    <col min="261" max="261" width="18" style="862" customWidth="1"/>
    <col min="262" max="263" width="16.28515625" style="862" bestFit="1" customWidth="1"/>
    <col min="264" max="264" width="14.7109375" style="862" customWidth="1"/>
    <col min="265" max="512" width="14.7109375" style="862"/>
    <col min="513" max="513" width="5.7109375" style="862" customWidth="1"/>
    <col min="514" max="514" width="42.5703125" style="862" customWidth="1"/>
    <col min="515" max="515" width="17.28515625" style="862" bestFit="1" customWidth="1"/>
    <col min="516" max="516" width="16.85546875" style="862" customWidth="1"/>
    <col min="517" max="517" width="18" style="862" customWidth="1"/>
    <col min="518" max="519" width="16.28515625" style="862" bestFit="1" customWidth="1"/>
    <col min="520" max="520" width="14.7109375" style="862" customWidth="1"/>
    <col min="521" max="768" width="14.7109375" style="862"/>
    <col min="769" max="769" width="5.7109375" style="862" customWidth="1"/>
    <col min="770" max="770" width="42.5703125" style="862" customWidth="1"/>
    <col min="771" max="771" width="17.28515625" style="862" bestFit="1" customWidth="1"/>
    <col min="772" max="772" width="16.85546875" style="862" customWidth="1"/>
    <col min="773" max="773" width="18" style="862" customWidth="1"/>
    <col min="774" max="775" width="16.28515625" style="862" bestFit="1" customWidth="1"/>
    <col min="776" max="776" width="14.7109375" style="862" customWidth="1"/>
    <col min="777" max="1024" width="14.7109375" style="862"/>
    <col min="1025" max="1025" width="5.7109375" style="862" customWidth="1"/>
    <col min="1026" max="1026" width="42.5703125" style="862" customWidth="1"/>
    <col min="1027" max="1027" width="17.28515625" style="862" bestFit="1" customWidth="1"/>
    <col min="1028" max="1028" width="16.85546875" style="862" customWidth="1"/>
    <col min="1029" max="1029" width="18" style="862" customWidth="1"/>
    <col min="1030" max="1031" width="16.28515625" style="862" bestFit="1" customWidth="1"/>
    <col min="1032" max="1032" width="14.7109375" style="862" customWidth="1"/>
    <col min="1033" max="1280" width="14.7109375" style="862"/>
    <col min="1281" max="1281" width="5.7109375" style="862" customWidth="1"/>
    <col min="1282" max="1282" width="42.5703125" style="862" customWidth="1"/>
    <col min="1283" max="1283" width="17.28515625" style="862" bestFit="1" customWidth="1"/>
    <col min="1284" max="1284" width="16.85546875" style="862" customWidth="1"/>
    <col min="1285" max="1285" width="18" style="862" customWidth="1"/>
    <col min="1286" max="1287" width="16.28515625" style="862" bestFit="1" customWidth="1"/>
    <col min="1288" max="1288" width="14.7109375" style="862" customWidth="1"/>
    <col min="1289" max="1536" width="14.7109375" style="862"/>
    <col min="1537" max="1537" width="5.7109375" style="862" customWidth="1"/>
    <col min="1538" max="1538" width="42.5703125" style="862" customWidth="1"/>
    <col min="1539" max="1539" width="17.28515625" style="862" bestFit="1" customWidth="1"/>
    <col min="1540" max="1540" width="16.85546875" style="862" customWidth="1"/>
    <col min="1541" max="1541" width="18" style="862" customWidth="1"/>
    <col min="1542" max="1543" width="16.28515625" style="862" bestFit="1" customWidth="1"/>
    <col min="1544" max="1544" width="14.7109375" style="862" customWidth="1"/>
    <col min="1545" max="1792" width="14.7109375" style="862"/>
    <col min="1793" max="1793" width="5.7109375" style="862" customWidth="1"/>
    <col min="1794" max="1794" width="42.5703125" style="862" customWidth="1"/>
    <col min="1795" max="1795" width="17.28515625" style="862" bestFit="1" customWidth="1"/>
    <col min="1796" max="1796" width="16.85546875" style="862" customWidth="1"/>
    <col min="1797" max="1797" width="18" style="862" customWidth="1"/>
    <col min="1798" max="1799" width="16.28515625" style="862" bestFit="1" customWidth="1"/>
    <col min="1800" max="1800" width="14.7109375" style="862" customWidth="1"/>
    <col min="1801" max="2048" width="14.7109375" style="862"/>
    <col min="2049" max="2049" width="5.7109375" style="862" customWidth="1"/>
    <col min="2050" max="2050" width="42.5703125" style="862" customWidth="1"/>
    <col min="2051" max="2051" width="17.28515625" style="862" bestFit="1" customWidth="1"/>
    <col min="2052" max="2052" width="16.85546875" style="862" customWidth="1"/>
    <col min="2053" max="2053" width="18" style="862" customWidth="1"/>
    <col min="2054" max="2055" width="16.28515625" style="862" bestFit="1" customWidth="1"/>
    <col min="2056" max="2056" width="14.7109375" style="862" customWidth="1"/>
    <col min="2057" max="2304" width="14.7109375" style="862"/>
    <col min="2305" max="2305" width="5.7109375" style="862" customWidth="1"/>
    <col min="2306" max="2306" width="42.5703125" style="862" customWidth="1"/>
    <col min="2307" max="2307" width="17.28515625" style="862" bestFit="1" customWidth="1"/>
    <col min="2308" max="2308" width="16.85546875" style="862" customWidth="1"/>
    <col min="2309" max="2309" width="18" style="862" customWidth="1"/>
    <col min="2310" max="2311" width="16.28515625" style="862" bestFit="1" customWidth="1"/>
    <col min="2312" max="2312" width="14.7109375" style="862" customWidth="1"/>
    <col min="2313" max="2560" width="14.7109375" style="862"/>
    <col min="2561" max="2561" width="5.7109375" style="862" customWidth="1"/>
    <col min="2562" max="2562" width="42.5703125" style="862" customWidth="1"/>
    <col min="2563" max="2563" width="17.28515625" style="862" bestFit="1" customWidth="1"/>
    <col min="2564" max="2564" width="16.85546875" style="862" customWidth="1"/>
    <col min="2565" max="2565" width="18" style="862" customWidth="1"/>
    <col min="2566" max="2567" width="16.28515625" style="862" bestFit="1" customWidth="1"/>
    <col min="2568" max="2568" width="14.7109375" style="862" customWidth="1"/>
    <col min="2569" max="2816" width="14.7109375" style="862"/>
    <col min="2817" max="2817" width="5.7109375" style="862" customWidth="1"/>
    <col min="2818" max="2818" width="42.5703125" style="862" customWidth="1"/>
    <col min="2819" max="2819" width="17.28515625" style="862" bestFit="1" customWidth="1"/>
    <col min="2820" max="2820" width="16.85546875" style="862" customWidth="1"/>
    <col min="2821" max="2821" width="18" style="862" customWidth="1"/>
    <col min="2822" max="2823" width="16.28515625" style="862" bestFit="1" customWidth="1"/>
    <col min="2824" max="2824" width="14.7109375" style="862" customWidth="1"/>
    <col min="2825" max="3072" width="14.7109375" style="862"/>
    <col min="3073" max="3073" width="5.7109375" style="862" customWidth="1"/>
    <col min="3074" max="3074" width="42.5703125" style="862" customWidth="1"/>
    <col min="3075" max="3075" width="17.28515625" style="862" bestFit="1" customWidth="1"/>
    <col min="3076" max="3076" width="16.85546875" style="862" customWidth="1"/>
    <col min="3077" max="3077" width="18" style="862" customWidth="1"/>
    <col min="3078" max="3079" width="16.28515625" style="862" bestFit="1" customWidth="1"/>
    <col min="3080" max="3080" width="14.7109375" style="862" customWidth="1"/>
    <col min="3081" max="3328" width="14.7109375" style="862"/>
    <col min="3329" max="3329" width="5.7109375" style="862" customWidth="1"/>
    <col min="3330" max="3330" width="42.5703125" style="862" customWidth="1"/>
    <col min="3331" max="3331" width="17.28515625" style="862" bestFit="1" customWidth="1"/>
    <col min="3332" max="3332" width="16.85546875" style="862" customWidth="1"/>
    <col min="3333" max="3333" width="18" style="862" customWidth="1"/>
    <col min="3334" max="3335" width="16.28515625" style="862" bestFit="1" customWidth="1"/>
    <col min="3336" max="3336" width="14.7109375" style="862" customWidth="1"/>
    <col min="3337" max="3584" width="14.7109375" style="862"/>
    <col min="3585" max="3585" width="5.7109375" style="862" customWidth="1"/>
    <col min="3586" max="3586" width="42.5703125" style="862" customWidth="1"/>
    <col min="3587" max="3587" width="17.28515625" style="862" bestFit="1" customWidth="1"/>
    <col min="3588" max="3588" width="16.85546875" style="862" customWidth="1"/>
    <col min="3589" max="3589" width="18" style="862" customWidth="1"/>
    <col min="3590" max="3591" width="16.28515625" style="862" bestFit="1" customWidth="1"/>
    <col min="3592" max="3592" width="14.7109375" style="862" customWidth="1"/>
    <col min="3593" max="3840" width="14.7109375" style="862"/>
    <col min="3841" max="3841" width="5.7109375" style="862" customWidth="1"/>
    <col min="3842" max="3842" width="42.5703125" style="862" customWidth="1"/>
    <col min="3843" max="3843" width="17.28515625" style="862" bestFit="1" customWidth="1"/>
    <col min="3844" max="3844" width="16.85546875" style="862" customWidth="1"/>
    <col min="3845" max="3845" width="18" style="862" customWidth="1"/>
    <col min="3846" max="3847" width="16.28515625" style="862" bestFit="1" customWidth="1"/>
    <col min="3848" max="3848" width="14.7109375" style="862" customWidth="1"/>
    <col min="3849" max="4096" width="14.7109375" style="862"/>
    <col min="4097" max="4097" width="5.7109375" style="862" customWidth="1"/>
    <col min="4098" max="4098" width="42.5703125" style="862" customWidth="1"/>
    <col min="4099" max="4099" width="17.28515625" style="862" bestFit="1" customWidth="1"/>
    <col min="4100" max="4100" width="16.85546875" style="862" customWidth="1"/>
    <col min="4101" max="4101" width="18" style="862" customWidth="1"/>
    <col min="4102" max="4103" width="16.28515625" style="862" bestFit="1" customWidth="1"/>
    <col min="4104" max="4104" width="14.7109375" style="862" customWidth="1"/>
    <col min="4105" max="4352" width="14.7109375" style="862"/>
    <col min="4353" max="4353" width="5.7109375" style="862" customWidth="1"/>
    <col min="4354" max="4354" width="42.5703125" style="862" customWidth="1"/>
    <col min="4355" max="4355" width="17.28515625" style="862" bestFit="1" customWidth="1"/>
    <col min="4356" max="4356" width="16.85546875" style="862" customWidth="1"/>
    <col min="4357" max="4357" width="18" style="862" customWidth="1"/>
    <col min="4358" max="4359" width="16.28515625" style="862" bestFit="1" customWidth="1"/>
    <col min="4360" max="4360" width="14.7109375" style="862" customWidth="1"/>
    <col min="4361" max="4608" width="14.7109375" style="862"/>
    <col min="4609" max="4609" width="5.7109375" style="862" customWidth="1"/>
    <col min="4610" max="4610" width="42.5703125" style="862" customWidth="1"/>
    <col min="4611" max="4611" width="17.28515625" style="862" bestFit="1" customWidth="1"/>
    <col min="4612" max="4612" width="16.85546875" style="862" customWidth="1"/>
    <col min="4613" max="4613" width="18" style="862" customWidth="1"/>
    <col min="4614" max="4615" width="16.28515625" style="862" bestFit="1" customWidth="1"/>
    <col min="4616" max="4616" width="14.7109375" style="862" customWidth="1"/>
    <col min="4617" max="4864" width="14.7109375" style="862"/>
    <col min="4865" max="4865" width="5.7109375" style="862" customWidth="1"/>
    <col min="4866" max="4866" width="42.5703125" style="862" customWidth="1"/>
    <col min="4867" max="4867" width="17.28515625" style="862" bestFit="1" customWidth="1"/>
    <col min="4868" max="4868" width="16.85546875" style="862" customWidth="1"/>
    <col min="4869" max="4869" width="18" style="862" customWidth="1"/>
    <col min="4870" max="4871" width="16.28515625" style="862" bestFit="1" customWidth="1"/>
    <col min="4872" max="4872" width="14.7109375" style="862" customWidth="1"/>
    <col min="4873" max="5120" width="14.7109375" style="862"/>
    <col min="5121" max="5121" width="5.7109375" style="862" customWidth="1"/>
    <col min="5122" max="5122" width="42.5703125" style="862" customWidth="1"/>
    <col min="5123" max="5123" width="17.28515625" style="862" bestFit="1" customWidth="1"/>
    <col min="5124" max="5124" width="16.85546875" style="862" customWidth="1"/>
    <col min="5125" max="5125" width="18" style="862" customWidth="1"/>
    <col min="5126" max="5127" width="16.28515625" style="862" bestFit="1" customWidth="1"/>
    <col min="5128" max="5128" width="14.7109375" style="862" customWidth="1"/>
    <col min="5129" max="5376" width="14.7109375" style="862"/>
    <col min="5377" max="5377" width="5.7109375" style="862" customWidth="1"/>
    <col min="5378" max="5378" width="42.5703125" style="862" customWidth="1"/>
    <col min="5379" max="5379" width="17.28515625" style="862" bestFit="1" customWidth="1"/>
    <col min="5380" max="5380" width="16.85546875" style="862" customWidth="1"/>
    <col min="5381" max="5381" width="18" style="862" customWidth="1"/>
    <col min="5382" max="5383" width="16.28515625" style="862" bestFit="1" customWidth="1"/>
    <col min="5384" max="5384" width="14.7109375" style="862" customWidth="1"/>
    <col min="5385" max="5632" width="14.7109375" style="862"/>
    <col min="5633" max="5633" width="5.7109375" style="862" customWidth="1"/>
    <col min="5634" max="5634" width="42.5703125" style="862" customWidth="1"/>
    <col min="5635" max="5635" width="17.28515625" style="862" bestFit="1" customWidth="1"/>
    <col min="5636" max="5636" width="16.85546875" style="862" customWidth="1"/>
    <col min="5637" max="5637" width="18" style="862" customWidth="1"/>
    <col min="5638" max="5639" width="16.28515625" style="862" bestFit="1" customWidth="1"/>
    <col min="5640" max="5640" width="14.7109375" style="862" customWidth="1"/>
    <col min="5641" max="5888" width="14.7109375" style="862"/>
    <col min="5889" max="5889" width="5.7109375" style="862" customWidth="1"/>
    <col min="5890" max="5890" width="42.5703125" style="862" customWidth="1"/>
    <col min="5891" max="5891" width="17.28515625" style="862" bestFit="1" customWidth="1"/>
    <col min="5892" max="5892" width="16.85546875" style="862" customWidth="1"/>
    <col min="5893" max="5893" width="18" style="862" customWidth="1"/>
    <col min="5894" max="5895" width="16.28515625" style="862" bestFit="1" customWidth="1"/>
    <col min="5896" max="5896" width="14.7109375" style="862" customWidth="1"/>
    <col min="5897" max="6144" width="14.7109375" style="862"/>
    <col min="6145" max="6145" width="5.7109375" style="862" customWidth="1"/>
    <col min="6146" max="6146" width="42.5703125" style="862" customWidth="1"/>
    <col min="6147" max="6147" width="17.28515625" style="862" bestFit="1" customWidth="1"/>
    <col min="6148" max="6148" width="16.85546875" style="862" customWidth="1"/>
    <col min="6149" max="6149" width="18" style="862" customWidth="1"/>
    <col min="6150" max="6151" width="16.28515625" style="862" bestFit="1" customWidth="1"/>
    <col min="6152" max="6152" width="14.7109375" style="862" customWidth="1"/>
    <col min="6153" max="6400" width="14.7109375" style="862"/>
    <col min="6401" max="6401" width="5.7109375" style="862" customWidth="1"/>
    <col min="6402" max="6402" width="42.5703125" style="862" customWidth="1"/>
    <col min="6403" max="6403" width="17.28515625" style="862" bestFit="1" customWidth="1"/>
    <col min="6404" max="6404" width="16.85546875" style="862" customWidth="1"/>
    <col min="6405" max="6405" width="18" style="862" customWidth="1"/>
    <col min="6406" max="6407" width="16.28515625" style="862" bestFit="1" customWidth="1"/>
    <col min="6408" max="6408" width="14.7109375" style="862" customWidth="1"/>
    <col min="6409" max="6656" width="14.7109375" style="862"/>
    <col min="6657" max="6657" width="5.7109375" style="862" customWidth="1"/>
    <col min="6658" max="6658" width="42.5703125" style="862" customWidth="1"/>
    <col min="6659" max="6659" width="17.28515625" style="862" bestFit="1" customWidth="1"/>
    <col min="6660" max="6660" width="16.85546875" style="862" customWidth="1"/>
    <col min="6661" max="6661" width="18" style="862" customWidth="1"/>
    <col min="6662" max="6663" width="16.28515625" style="862" bestFit="1" customWidth="1"/>
    <col min="6664" max="6664" width="14.7109375" style="862" customWidth="1"/>
    <col min="6665" max="6912" width="14.7109375" style="862"/>
    <col min="6913" max="6913" width="5.7109375" style="862" customWidth="1"/>
    <col min="6914" max="6914" width="42.5703125" style="862" customWidth="1"/>
    <col min="6915" max="6915" width="17.28515625" style="862" bestFit="1" customWidth="1"/>
    <col min="6916" max="6916" width="16.85546875" style="862" customWidth="1"/>
    <col min="6917" max="6917" width="18" style="862" customWidth="1"/>
    <col min="6918" max="6919" width="16.28515625" style="862" bestFit="1" customWidth="1"/>
    <col min="6920" max="6920" width="14.7109375" style="862" customWidth="1"/>
    <col min="6921" max="7168" width="14.7109375" style="862"/>
    <col min="7169" max="7169" width="5.7109375" style="862" customWidth="1"/>
    <col min="7170" max="7170" width="42.5703125" style="862" customWidth="1"/>
    <col min="7171" max="7171" width="17.28515625" style="862" bestFit="1" customWidth="1"/>
    <col min="7172" max="7172" width="16.85546875" style="862" customWidth="1"/>
    <col min="7173" max="7173" width="18" style="862" customWidth="1"/>
    <col min="7174" max="7175" width="16.28515625" style="862" bestFit="1" customWidth="1"/>
    <col min="7176" max="7176" width="14.7109375" style="862" customWidth="1"/>
    <col min="7177" max="7424" width="14.7109375" style="862"/>
    <col min="7425" max="7425" width="5.7109375" style="862" customWidth="1"/>
    <col min="7426" max="7426" width="42.5703125" style="862" customWidth="1"/>
    <col min="7427" max="7427" width="17.28515625" style="862" bestFit="1" customWidth="1"/>
    <col min="7428" max="7428" width="16.85546875" style="862" customWidth="1"/>
    <col min="7429" max="7429" width="18" style="862" customWidth="1"/>
    <col min="7430" max="7431" width="16.28515625" style="862" bestFit="1" customWidth="1"/>
    <col min="7432" max="7432" width="14.7109375" style="862" customWidth="1"/>
    <col min="7433" max="7680" width="14.7109375" style="862"/>
    <col min="7681" max="7681" width="5.7109375" style="862" customWidth="1"/>
    <col min="7682" max="7682" width="42.5703125" style="862" customWidth="1"/>
    <col min="7683" max="7683" width="17.28515625" style="862" bestFit="1" customWidth="1"/>
    <col min="7684" max="7684" width="16.85546875" style="862" customWidth="1"/>
    <col min="7685" max="7685" width="18" style="862" customWidth="1"/>
    <col min="7686" max="7687" width="16.28515625" style="862" bestFit="1" customWidth="1"/>
    <col min="7688" max="7688" width="14.7109375" style="862" customWidth="1"/>
    <col min="7689" max="7936" width="14.7109375" style="862"/>
    <col min="7937" max="7937" width="5.7109375" style="862" customWidth="1"/>
    <col min="7938" max="7938" width="42.5703125" style="862" customWidth="1"/>
    <col min="7939" max="7939" width="17.28515625" style="862" bestFit="1" customWidth="1"/>
    <col min="7940" max="7940" width="16.85546875" style="862" customWidth="1"/>
    <col min="7941" max="7941" width="18" style="862" customWidth="1"/>
    <col min="7942" max="7943" width="16.28515625" style="862" bestFit="1" customWidth="1"/>
    <col min="7944" max="7944" width="14.7109375" style="862" customWidth="1"/>
    <col min="7945" max="8192" width="14.7109375" style="862"/>
    <col min="8193" max="8193" width="5.7109375" style="862" customWidth="1"/>
    <col min="8194" max="8194" width="42.5703125" style="862" customWidth="1"/>
    <col min="8195" max="8195" width="17.28515625" style="862" bestFit="1" customWidth="1"/>
    <col min="8196" max="8196" width="16.85546875" style="862" customWidth="1"/>
    <col min="8197" max="8197" width="18" style="862" customWidth="1"/>
    <col min="8198" max="8199" width="16.28515625" style="862" bestFit="1" customWidth="1"/>
    <col min="8200" max="8200" width="14.7109375" style="862" customWidth="1"/>
    <col min="8201" max="8448" width="14.7109375" style="862"/>
    <col min="8449" max="8449" width="5.7109375" style="862" customWidth="1"/>
    <col min="8450" max="8450" width="42.5703125" style="862" customWidth="1"/>
    <col min="8451" max="8451" width="17.28515625" style="862" bestFit="1" customWidth="1"/>
    <col min="8452" max="8452" width="16.85546875" style="862" customWidth="1"/>
    <col min="8453" max="8453" width="18" style="862" customWidth="1"/>
    <col min="8454" max="8455" width="16.28515625" style="862" bestFit="1" customWidth="1"/>
    <col min="8456" max="8456" width="14.7109375" style="862" customWidth="1"/>
    <col min="8457" max="8704" width="14.7109375" style="862"/>
    <col min="8705" max="8705" width="5.7109375" style="862" customWidth="1"/>
    <col min="8706" max="8706" width="42.5703125" style="862" customWidth="1"/>
    <col min="8707" max="8707" width="17.28515625" style="862" bestFit="1" customWidth="1"/>
    <col min="8708" max="8708" width="16.85546875" style="862" customWidth="1"/>
    <col min="8709" max="8709" width="18" style="862" customWidth="1"/>
    <col min="8710" max="8711" width="16.28515625" style="862" bestFit="1" customWidth="1"/>
    <col min="8712" max="8712" width="14.7109375" style="862" customWidth="1"/>
    <col min="8713" max="8960" width="14.7109375" style="862"/>
    <col min="8961" max="8961" width="5.7109375" style="862" customWidth="1"/>
    <col min="8962" max="8962" width="42.5703125" style="862" customWidth="1"/>
    <col min="8963" max="8963" width="17.28515625" style="862" bestFit="1" customWidth="1"/>
    <col min="8964" max="8964" width="16.85546875" style="862" customWidth="1"/>
    <col min="8965" max="8965" width="18" style="862" customWidth="1"/>
    <col min="8966" max="8967" width="16.28515625" style="862" bestFit="1" customWidth="1"/>
    <col min="8968" max="8968" width="14.7109375" style="862" customWidth="1"/>
    <col min="8969" max="9216" width="14.7109375" style="862"/>
    <col min="9217" max="9217" width="5.7109375" style="862" customWidth="1"/>
    <col min="9218" max="9218" width="42.5703125" style="862" customWidth="1"/>
    <col min="9219" max="9219" width="17.28515625" style="862" bestFit="1" customWidth="1"/>
    <col min="9220" max="9220" width="16.85546875" style="862" customWidth="1"/>
    <col min="9221" max="9221" width="18" style="862" customWidth="1"/>
    <col min="9222" max="9223" width="16.28515625" style="862" bestFit="1" customWidth="1"/>
    <col min="9224" max="9224" width="14.7109375" style="862" customWidth="1"/>
    <col min="9225" max="9472" width="14.7109375" style="862"/>
    <col min="9473" max="9473" width="5.7109375" style="862" customWidth="1"/>
    <col min="9474" max="9474" width="42.5703125" style="862" customWidth="1"/>
    <col min="9475" max="9475" width="17.28515625" style="862" bestFit="1" customWidth="1"/>
    <col min="9476" max="9476" width="16.85546875" style="862" customWidth="1"/>
    <col min="9477" max="9477" width="18" style="862" customWidth="1"/>
    <col min="9478" max="9479" width="16.28515625" style="862" bestFit="1" customWidth="1"/>
    <col min="9480" max="9480" width="14.7109375" style="862" customWidth="1"/>
    <col min="9481" max="9728" width="14.7109375" style="862"/>
    <col min="9729" max="9729" width="5.7109375" style="862" customWidth="1"/>
    <col min="9730" max="9730" width="42.5703125" style="862" customWidth="1"/>
    <col min="9731" max="9731" width="17.28515625" style="862" bestFit="1" customWidth="1"/>
    <col min="9732" max="9732" width="16.85546875" style="862" customWidth="1"/>
    <col min="9733" max="9733" width="18" style="862" customWidth="1"/>
    <col min="9734" max="9735" width="16.28515625" style="862" bestFit="1" customWidth="1"/>
    <col min="9736" max="9736" width="14.7109375" style="862" customWidth="1"/>
    <col min="9737" max="9984" width="14.7109375" style="862"/>
    <col min="9985" max="9985" width="5.7109375" style="862" customWidth="1"/>
    <col min="9986" max="9986" width="42.5703125" style="862" customWidth="1"/>
    <col min="9987" max="9987" width="17.28515625" style="862" bestFit="1" customWidth="1"/>
    <col min="9988" max="9988" width="16.85546875" style="862" customWidth="1"/>
    <col min="9989" max="9989" width="18" style="862" customWidth="1"/>
    <col min="9990" max="9991" width="16.28515625" style="862" bestFit="1" customWidth="1"/>
    <col min="9992" max="9992" width="14.7109375" style="862" customWidth="1"/>
    <col min="9993" max="10240" width="14.7109375" style="862"/>
    <col min="10241" max="10241" width="5.7109375" style="862" customWidth="1"/>
    <col min="10242" max="10242" width="42.5703125" style="862" customWidth="1"/>
    <col min="10243" max="10243" width="17.28515625" style="862" bestFit="1" customWidth="1"/>
    <col min="10244" max="10244" width="16.85546875" style="862" customWidth="1"/>
    <col min="10245" max="10245" width="18" style="862" customWidth="1"/>
    <col min="10246" max="10247" width="16.28515625" style="862" bestFit="1" customWidth="1"/>
    <col min="10248" max="10248" width="14.7109375" style="862" customWidth="1"/>
    <col min="10249" max="10496" width="14.7109375" style="862"/>
    <col min="10497" max="10497" width="5.7109375" style="862" customWidth="1"/>
    <col min="10498" max="10498" width="42.5703125" style="862" customWidth="1"/>
    <col min="10499" max="10499" width="17.28515625" style="862" bestFit="1" customWidth="1"/>
    <col min="10500" max="10500" width="16.85546875" style="862" customWidth="1"/>
    <col min="10501" max="10501" width="18" style="862" customWidth="1"/>
    <col min="10502" max="10503" width="16.28515625" style="862" bestFit="1" customWidth="1"/>
    <col min="10504" max="10504" width="14.7109375" style="862" customWidth="1"/>
    <col min="10505" max="10752" width="14.7109375" style="862"/>
    <col min="10753" max="10753" width="5.7109375" style="862" customWidth="1"/>
    <col min="10754" max="10754" width="42.5703125" style="862" customWidth="1"/>
    <col min="10755" max="10755" width="17.28515625" style="862" bestFit="1" customWidth="1"/>
    <col min="10756" max="10756" width="16.85546875" style="862" customWidth="1"/>
    <col min="10757" max="10757" width="18" style="862" customWidth="1"/>
    <col min="10758" max="10759" width="16.28515625" style="862" bestFit="1" customWidth="1"/>
    <col min="10760" max="10760" width="14.7109375" style="862" customWidth="1"/>
    <col min="10761" max="11008" width="14.7109375" style="862"/>
    <col min="11009" max="11009" width="5.7109375" style="862" customWidth="1"/>
    <col min="11010" max="11010" width="42.5703125" style="862" customWidth="1"/>
    <col min="11011" max="11011" width="17.28515625" style="862" bestFit="1" customWidth="1"/>
    <col min="11012" max="11012" width="16.85546875" style="862" customWidth="1"/>
    <col min="11013" max="11013" width="18" style="862" customWidth="1"/>
    <col min="11014" max="11015" width="16.28515625" style="862" bestFit="1" customWidth="1"/>
    <col min="11016" max="11016" width="14.7109375" style="862" customWidth="1"/>
    <col min="11017" max="11264" width="14.7109375" style="862"/>
    <col min="11265" max="11265" width="5.7109375" style="862" customWidth="1"/>
    <col min="11266" max="11266" width="42.5703125" style="862" customWidth="1"/>
    <col min="11267" max="11267" width="17.28515625" style="862" bestFit="1" customWidth="1"/>
    <col min="11268" max="11268" width="16.85546875" style="862" customWidth="1"/>
    <col min="11269" max="11269" width="18" style="862" customWidth="1"/>
    <col min="11270" max="11271" width="16.28515625" style="862" bestFit="1" customWidth="1"/>
    <col min="11272" max="11272" width="14.7109375" style="862" customWidth="1"/>
    <col min="11273" max="11520" width="14.7109375" style="862"/>
    <col min="11521" max="11521" width="5.7109375" style="862" customWidth="1"/>
    <col min="11522" max="11522" width="42.5703125" style="862" customWidth="1"/>
    <col min="11523" max="11523" width="17.28515625" style="862" bestFit="1" customWidth="1"/>
    <col min="11524" max="11524" width="16.85546875" style="862" customWidth="1"/>
    <col min="11525" max="11525" width="18" style="862" customWidth="1"/>
    <col min="11526" max="11527" width="16.28515625" style="862" bestFit="1" customWidth="1"/>
    <col min="11528" max="11528" width="14.7109375" style="862" customWidth="1"/>
    <col min="11529" max="11776" width="14.7109375" style="862"/>
    <col min="11777" max="11777" width="5.7109375" style="862" customWidth="1"/>
    <col min="11778" max="11778" width="42.5703125" style="862" customWidth="1"/>
    <col min="11779" max="11779" width="17.28515625" style="862" bestFit="1" customWidth="1"/>
    <col min="11780" max="11780" width="16.85546875" style="862" customWidth="1"/>
    <col min="11781" max="11781" width="18" style="862" customWidth="1"/>
    <col min="11782" max="11783" width="16.28515625" style="862" bestFit="1" customWidth="1"/>
    <col min="11784" max="11784" width="14.7109375" style="862" customWidth="1"/>
    <col min="11785" max="12032" width="14.7109375" style="862"/>
    <col min="12033" max="12033" width="5.7109375" style="862" customWidth="1"/>
    <col min="12034" max="12034" width="42.5703125" style="862" customWidth="1"/>
    <col min="12035" max="12035" width="17.28515625" style="862" bestFit="1" customWidth="1"/>
    <col min="12036" max="12036" width="16.85546875" style="862" customWidth="1"/>
    <col min="12037" max="12037" width="18" style="862" customWidth="1"/>
    <col min="12038" max="12039" width="16.28515625" style="862" bestFit="1" customWidth="1"/>
    <col min="12040" max="12040" width="14.7109375" style="862" customWidth="1"/>
    <col min="12041" max="12288" width="14.7109375" style="862"/>
    <col min="12289" max="12289" width="5.7109375" style="862" customWidth="1"/>
    <col min="12290" max="12290" width="42.5703125" style="862" customWidth="1"/>
    <col min="12291" max="12291" width="17.28515625" style="862" bestFit="1" customWidth="1"/>
    <col min="12292" max="12292" width="16.85546875" style="862" customWidth="1"/>
    <col min="12293" max="12293" width="18" style="862" customWidth="1"/>
    <col min="12294" max="12295" width="16.28515625" style="862" bestFit="1" customWidth="1"/>
    <col min="12296" max="12296" width="14.7109375" style="862" customWidth="1"/>
    <col min="12297" max="12544" width="14.7109375" style="862"/>
    <col min="12545" max="12545" width="5.7109375" style="862" customWidth="1"/>
    <col min="12546" max="12546" width="42.5703125" style="862" customWidth="1"/>
    <col min="12547" max="12547" width="17.28515625" style="862" bestFit="1" customWidth="1"/>
    <col min="12548" max="12548" width="16.85546875" style="862" customWidth="1"/>
    <col min="12549" max="12549" width="18" style="862" customWidth="1"/>
    <col min="12550" max="12551" width="16.28515625" style="862" bestFit="1" customWidth="1"/>
    <col min="12552" max="12552" width="14.7109375" style="862" customWidth="1"/>
    <col min="12553" max="12800" width="14.7109375" style="862"/>
    <col min="12801" max="12801" width="5.7109375" style="862" customWidth="1"/>
    <col min="12802" max="12802" width="42.5703125" style="862" customWidth="1"/>
    <col min="12803" max="12803" width="17.28515625" style="862" bestFit="1" customWidth="1"/>
    <col min="12804" max="12804" width="16.85546875" style="862" customWidth="1"/>
    <col min="12805" max="12805" width="18" style="862" customWidth="1"/>
    <col min="12806" max="12807" width="16.28515625" style="862" bestFit="1" customWidth="1"/>
    <col min="12808" max="12808" width="14.7109375" style="862" customWidth="1"/>
    <col min="12809" max="13056" width="14.7109375" style="862"/>
    <col min="13057" max="13057" width="5.7109375" style="862" customWidth="1"/>
    <col min="13058" max="13058" width="42.5703125" style="862" customWidth="1"/>
    <col min="13059" max="13059" width="17.28515625" style="862" bestFit="1" customWidth="1"/>
    <col min="13060" max="13060" width="16.85546875" style="862" customWidth="1"/>
    <col min="13061" max="13061" width="18" style="862" customWidth="1"/>
    <col min="13062" max="13063" width="16.28515625" style="862" bestFit="1" customWidth="1"/>
    <col min="13064" max="13064" width="14.7109375" style="862" customWidth="1"/>
    <col min="13065" max="13312" width="14.7109375" style="862"/>
    <col min="13313" max="13313" width="5.7109375" style="862" customWidth="1"/>
    <col min="13314" max="13314" width="42.5703125" style="862" customWidth="1"/>
    <col min="13315" max="13315" width="17.28515625" style="862" bestFit="1" customWidth="1"/>
    <col min="13316" max="13316" width="16.85546875" style="862" customWidth="1"/>
    <col min="13317" max="13317" width="18" style="862" customWidth="1"/>
    <col min="13318" max="13319" width="16.28515625" style="862" bestFit="1" customWidth="1"/>
    <col min="13320" max="13320" width="14.7109375" style="862" customWidth="1"/>
    <col min="13321" max="13568" width="14.7109375" style="862"/>
    <col min="13569" max="13569" width="5.7109375" style="862" customWidth="1"/>
    <col min="13570" max="13570" width="42.5703125" style="862" customWidth="1"/>
    <col min="13571" max="13571" width="17.28515625" style="862" bestFit="1" customWidth="1"/>
    <col min="13572" max="13572" width="16.85546875" style="862" customWidth="1"/>
    <col min="13573" max="13573" width="18" style="862" customWidth="1"/>
    <col min="13574" max="13575" width="16.28515625" style="862" bestFit="1" customWidth="1"/>
    <col min="13576" max="13576" width="14.7109375" style="862" customWidth="1"/>
    <col min="13577" max="13824" width="14.7109375" style="862"/>
    <col min="13825" max="13825" width="5.7109375" style="862" customWidth="1"/>
    <col min="13826" max="13826" width="42.5703125" style="862" customWidth="1"/>
    <col min="13827" max="13827" width="17.28515625" style="862" bestFit="1" customWidth="1"/>
    <col min="13828" max="13828" width="16.85546875" style="862" customWidth="1"/>
    <col min="13829" max="13829" width="18" style="862" customWidth="1"/>
    <col min="13830" max="13831" width="16.28515625" style="862" bestFit="1" customWidth="1"/>
    <col min="13832" max="13832" width="14.7109375" style="862" customWidth="1"/>
    <col min="13833" max="14080" width="14.7109375" style="862"/>
    <col min="14081" max="14081" width="5.7109375" style="862" customWidth="1"/>
    <col min="14082" max="14082" width="42.5703125" style="862" customWidth="1"/>
    <col min="14083" max="14083" width="17.28515625" style="862" bestFit="1" customWidth="1"/>
    <col min="14084" max="14084" width="16.85546875" style="862" customWidth="1"/>
    <col min="14085" max="14085" width="18" style="862" customWidth="1"/>
    <col min="14086" max="14087" width="16.28515625" style="862" bestFit="1" customWidth="1"/>
    <col min="14088" max="14088" width="14.7109375" style="862" customWidth="1"/>
    <col min="14089" max="14336" width="14.7109375" style="862"/>
    <col min="14337" max="14337" width="5.7109375" style="862" customWidth="1"/>
    <col min="14338" max="14338" width="42.5703125" style="862" customWidth="1"/>
    <col min="14339" max="14339" width="17.28515625" style="862" bestFit="1" customWidth="1"/>
    <col min="14340" max="14340" width="16.85546875" style="862" customWidth="1"/>
    <col min="14341" max="14341" width="18" style="862" customWidth="1"/>
    <col min="14342" max="14343" width="16.28515625" style="862" bestFit="1" customWidth="1"/>
    <col min="14344" max="14344" width="14.7109375" style="862" customWidth="1"/>
    <col min="14345" max="14592" width="14.7109375" style="862"/>
    <col min="14593" max="14593" width="5.7109375" style="862" customWidth="1"/>
    <col min="14594" max="14594" width="42.5703125" style="862" customWidth="1"/>
    <col min="14595" max="14595" width="17.28515625" style="862" bestFit="1" customWidth="1"/>
    <col min="14596" max="14596" width="16.85546875" style="862" customWidth="1"/>
    <col min="14597" max="14597" width="18" style="862" customWidth="1"/>
    <col min="14598" max="14599" width="16.28515625" style="862" bestFit="1" customWidth="1"/>
    <col min="14600" max="14600" width="14.7109375" style="862" customWidth="1"/>
    <col min="14601" max="14848" width="14.7109375" style="862"/>
    <col min="14849" max="14849" width="5.7109375" style="862" customWidth="1"/>
    <col min="14850" max="14850" width="42.5703125" style="862" customWidth="1"/>
    <col min="14851" max="14851" width="17.28515625" style="862" bestFit="1" customWidth="1"/>
    <col min="14852" max="14852" width="16.85546875" style="862" customWidth="1"/>
    <col min="14853" max="14853" width="18" style="862" customWidth="1"/>
    <col min="14854" max="14855" width="16.28515625" style="862" bestFit="1" customWidth="1"/>
    <col min="14856" max="14856" width="14.7109375" style="862" customWidth="1"/>
    <col min="14857" max="15104" width="14.7109375" style="862"/>
    <col min="15105" max="15105" width="5.7109375" style="862" customWidth="1"/>
    <col min="15106" max="15106" width="42.5703125" style="862" customWidth="1"/>
    <col min="15107" max="15107" width="17.28515625" style="862" bestFit="1" customWidth="1"/>
    <col min="15108" max="15108" width="16.85546875" style="862" customWidth="1"/>
    <col min="15109" max="15109" width="18" style="862" customWidth="1"/>
    <col min="15110" max="15111" width="16.28515625" style="862" bestFit="1" customWidth="1"/>
    <col min="15112" max="15112" width="14.7109375" style="862" customWidth="1"/>
    <col min="15113" max="15360" width="14.7109375" style="862"/>
    <col min="15361" max="15361" width="5.7109375" style="862" customWidth="1"/>
    <col min="15362" max="15362" width="42.5703125" style="862" customWidth="1"/>
    <col min="15363" max="15363" width="17.28515625" style="862" bestFit="1" customWidth="1"/>
    <col min="15364" max="15364" width="16.85546875" style="862" customWidth="1"/>
    <col min="15365" max="15365" width="18" style="862" customWidth="1"/>
    <col min="15366" max="15367" width="16.28515625" style="862" bestFit="1" customWidth="1"/>
    <col min="15368" max="15368" width="14.7109375" style="862" customWidth="1"/>
    <col min="15369" max="15616" width="14.7109375" style="862"/>
    <col min="15617" max="15617" width="5.7109375" style="862" customWidth="1"/>
    <col min="15618" max="15618" width="42.5703125" style="862" customWidth="1"/>
    <col min="15619" max="15619" width="17.28515625" style="862" bestFit="1" customWidth="1"/>
    <col min="15620" max="15620" width="16.85546875" style="862" customWidth="1"/>
    <col min="15621" max="15621" width="18" style="862" customWidth="1"/>
    <col min="15622" max="15623" width="16.28515625" style="862" bestFit="1" customWidth="1"/>
    <col min="15624" max="15624" width="14.7109375" style="862" customWidth="1"/>
    <col min="15625" max="15872" width="14.7109375" style="862"/>
    <col min="15873" max="15873" width="5.7109375" style="862" customWidth="1"/>
    <col min="15874" max="15874" width="42.5703125" style="862" customWidth="1"/>
    <col min="15875" max="15875" width="17.28515625" style="862" bestFit="1" customWidth="1"/>
    <col min="15876" max="15876" width="16.85546875" style="862" customWidth="1"/>
    <col min="15877" max="15877" width="18" style="862" customWidth="1"/>
    <col min="15878" max="15879" width="16.28515625" style="862" bestFit="1" customWidth="1"/>
    <col min="15880" max="15880" width="14.7109375" style="862" customWidth="1"/>
    <col min="15881" max="16128" width="14.7109375" style="862"/>
    <col min="16129" max="16129" width="5.7109375" style="862" customWidth="1"/>
    <col min="16130" max="16130" width="42.5703125" style="862" customWidth="1"/>
    <col min="16131" max="16131" width="17.28515625" style="862" bestFit="1" customWidth="1"/>
    <col min="16132" max="16132" width="16.85546875" style="862" customWidth="1"/>
    <col min="16133" max="16133" width="18" style="862" customWidth="1"/>
    <col min="16134" max="16135" width="16.28515625" style="862" bestFit="1" customWidth="1"/>
    <col min="16136" max="16136" width="14.7109375" style="862" customWidth="1"/>
    <col min="16137" max="16384" width="14.7109375" style="862"/>
  </cols>
  <sheetData>
    <row r="1" spans="1:7" ht="15.75">
      <c r="A1" s="1005" t="s">
        <v>406</v>
      </c>
    </row>
    <row r="2" spans="1:7" ht="15.75">
      <c r="A2" s="1005" t="s">
        <v>406</v>
      </c>
    </row>
    <row r="3" spans="1:7" ht="19.5">
      <c r="B3" s="1570" t="s">
        <v>321</v>
      </c>
      <c r="C3" s="1570"/>
      <c r="D3" s="1570"/>
      <c r="E3" s="1570"/>
      <c r="F3" s="861"/>
      <c r="G3" s="861"/>
    </row>
    <row r="4" spans="1:7" ht="19.5">
      <c r="B4" s="1570" t="s">
        <v>216</v>
      </c>
      <c r="C4" s="1570"/>
      <c r="D4" s="1570"/>
      <c r="E4" s="1570"/>
      <c r="F4" s="861"/>
      <c r="G4" s="861"/>
    </row>
    <row r="5" spans="1:7" ht="19.5">
      <c r="B5" s="1570" t="s">
        <v>217</v>
      </c>
      <c r="C5" s="1570"/>
      <c r="D5" s="1570"/>
      <c r="E5" s="1570"/>
      <c r="F5" s="861"/>
      <c r="G5" s="861"/>
    </row>
    <row r="6" spans="1:7" ht="19.5">
      <c r="B6" s="1570" t="s">
        <v>218</v>
      </c>
      <c r="C6" s="1570"/>
      <c r="D6" s="1570"/>
      <c r="E6" s="1570"/>
      <c r="F6" s="861"/>
      <c r="G6" s="861"/>
    </row>
    <row r="7" spans="1:7" ht="19.5">
      <c r="B7" s="1571" t="s">
        <v>979</v>
      </c>
      <c r="C7" s="1571"/>
      <c r="D7" s="1571"/>
      <c r="E7" s="1571"/>
      <c r="F7" s="861"/>
      <c r="G7" s="861"/>
    </row>
    <row r="8" spans="1:7" ht="19.5">
      <c r="B8" s="1570"/>
      <c r="C8" s="1570"/>
      <c r="D8" s="1570"/>
      <c r="E8" s="1570"/>
      <c r="F8" s="861"/>
      <c r="G8" s="861"/>
    </row>
    <row r="9" spans="1:7" ht="19.5">
      <c r="B9" s="1565" t="s">
        <v>801</v>
      </c>
      <c r="C9" s="1478"/>
      <c r="D9" s="1478"/>
      <c r="E9" s="1478"/>
      <c r="F9" s="861"/>
      <c r="G9" s="861"/>
    </row>
    <row r="11" spans="1:7">
      <c r="B11" s="863"/>
      <c r="C11" s="863"/>
      <c r="D11" s="864"/>
    </row>
    <row r="12" spans="1:7" ht="15" customHeight="1">
      <c r="B12" s="863"/>
      <c r="C12" s="863"/>
      <c r="D12" s="864"/>
    </row>
    <row r="13" spans="1:7" ht="15.75">
      <c r="B13" s="863"/>
      <c r="C13" s="865" t="s">
        <v>33</v>
      </c>
      <c r="D13" s="865" t="s">
        <v>35</v>
      </c>
    </row>
    <row r="14" spans="1:7" ht="16.5" thickBot="1">
      <c r="B14" s="864"/>
      <c r="C14" s="865" t="s">
        <v>34</v>
      </c>
      <c r="D14" s="866" t="s">
        <v>287</v>
      </c>
    </row>
    <row r="15" spans="1:7">
      <c r="B15" s="867" t="s">
        <v>36</v>
      </c>
      <c r="C15" s="868"/>
      <c r="D15" s="131"/>
    </row>
    <row r="16" spans="1:7">
      <c r="B16" s="869"/>
      <c r="C16" s="870"/>
      <c r="D16" s="132"/>
    </row>
    <row r="17" spans="2:5">
      <c r="B17" s="1394" t="s">
        <v>894</v>
      </c>
      <c r="C17" s="153">
        <v>351</v>
      </c>
      <c r="D17" s="1327">
        <v>0</v>
      </c>
      <c r="E17" s="871"/>
    </row>
    <row r="18" spans="2:5">
      <c r="B18" s="1395" t="s">
        <v>895</v>
      </c>
      <c r="C18" s="153">
        <v>352</v>
      </c>
      <c r="D18" s="140">
        <v>2.2200000000000001E-2</v>
      </c>
      <c r="E18" s="140"/>
    </row>
    <row r="19" spans="2:5">
      <c r="B19" s="1395" t="s">
        <v>896</v>
      </c>
      <c r="C19" s="153">
        <v>353</v>
      </c>
      <c r="D19" s="140">
        <v>2.75E-2</v>
      </c>
      <c r="E19" s="871"/>
    </row>
    <row r="20" spans="2:5">
      <c r="B20" s="1395" t="s">
        <v>897</v>
      </c>
      <c r="C20" s="153">
        <v>354</v>
      </c>
      <c r="D20" s="140">
        <v>1.6299999999999999E-2</v>
      </c>
      <c r="E20" s="871"/>
    </row>
    <row r="21" spans="2:5">
      <c r="B21" s="1395" t="s">
        <v>898</v>
      </c>
      <c r="C21" s="153">
        <v>355</v>
      </c>
      <c r="D21" s="140">
        <v>3.7199999999999997E-2</v>
      </c>
      <c r="E21" s="140"/>
    </row>
    <row r="22" spans="2:5">
      <c r="B22" s="1395" t="s">
        <v>899</v>
      </c>
      <c r="C22" s="153">
        <v>356</v>
      </c>
      <c r="D22" s="140">
        <v>1.9900000000000001E-2</v>
      </c>
      <c r="E22" s="873"/>
    </row>
    <row r="23" spans="2:5">
      <c r="B23" s="1395" t="s">
        <v>900</v>
      </c>
      <c r="C23" s="153">
        <v>357</v>
      </c>
      <c r="D23" s="140">
        <v>2.4E-2</v>
      </c>
      <c r="E23" s="871"/>
    </row>
    <row r="24" spans="2:5">
      <c r="B24" s="1395" t="s">
        <v>901</v>
      </c>
      <c r="C24" s="153">
        <v>358</v>
      </c>
      <c r="D24" s="140">
        <v>4.6399999999999997E-2</v>
      </c>
      <c r="E24" s="871"/>
    </row>
    <row r="25" spans="2:5">
      <c r="B25" s="872"/>
      <c r="C25" s="153"/>
      <c r="D25" s="140"/>
      <c r="E25" s="871"/>
    </row>
    <row r="26" spans="2:5" ht="15.75" thickBot="1">
      <c r="B26" s="872"/>
      <c r="C26" s="153"/>
      <c r="D26" s="140"/>
      <c r="E26" s="871"/>
    </row>
    <row r="27" spans="2:5">
      <c r="B27" s="867" t="s">
        <v>814</v>
      </c>
      <c r="C27" s="868"/>
      <c r="D27" s="131"/>
      <c r="E27" s="871"/>
    </row>
    <row r="28" spans="2:5">
      <c r="B28" s="872"/>
      <c r="C28" s="153"/>
      <c r="D28" s="140"/>
      <c r="E28" s="871"/>
    </row>
    <row r="29" spans="2:5">
      <c r="B29" s="1395" t="s">
        <v>895</v>
      </c>
      <c r="C29" s="153">
        <v>390</v>
      </c>
      <c r="D29" s="1327">
        <v>2.06E-2</v>
      </c>
      <c r="E29" s="871"/>
    </row>
    <row r="30" spans="2:5">
      <c r="B30" s="1395" t="s">
        <v>902</v>
      </c>
      <c r="C30" s="153">
        <v>391</v>
      </c>
      <c r="D30" s="1327">
        <v>3.2500000000000001E-2</v>
      </c>
      <c r="E30" s="871"/>
    </row>
    <row r="31" spans="2:5">
      <c r="B31" s="1395" t="s">
        <v>903</v>
      </c>
      <c r="C31" s="153">
        <v>392</v>
      </c>
      <c r="D31" s="1327">
        <v>3.4500000000000003E-2</v>
      </c>
      <c r="E31" s="871"/>
    </row>
    <row r="32" spans="2:5">
      <c r="B32" s="1395" t="s">
        <v>812</v>
      </c>
      <c r="C32" s="153">
        <v>393</v>
      </c>
      <c r="D32" s="1327">
        <v>1.78E-2</v>
      </c>
      <c r="E32" s="871"/>
    </row>
    <row r="33" spans="2:5">
      <c r="B33" s="1395" t="s">
        <v>904</v>
      </c>
      <c r="C33" s="153">
        <v>394</v>
      </c>
      <c r="D33" s="1327">
        <v>2.5899999999999999E-2</v>
      </c>
      <c r="E33" s="871"/>
    </row>
    <row r="34" spans="2:5">
      <c r="B34" s="1395" t="s">
        <v>813</v>
      </c>
      <c r="C34" s="153">
        <v>395</v>
      </c>
      <c r="D34" s="1327">
        <v>3.5000000000000003E-2</v>
      </c>
      <c r="E34" s="871"/>
    </row>
    <row r="35" spans="2:5">
      <c r="B35" s="1395" t="s">
        <v>905</v>
      </c>
      <c r="C35" s="153">
        <v>397</v>
      </c>
      <c r="D35" s="1327">
        <v>4.1599999999999998E-2</v>
      </c>
      <c r="E35" s="871"/>
    </row>
    <row r="36" spans="2:5">
      <c r="B36" s="1395" t="s">
        <v>906</v>
      </c>
      <c r="C36" s="153">
        <v>398</v>
      </c>
      <c r="D36" s="1327">
        <v>5.0200000000000009E-2</v>
      </c>
      <c r="E36" s="871"/>
    </row>
    <row r="37" spans="2:5">
      <c r="B37" s="872"/>
      <c r="C37" s="153"/>
      <c r="D37" s="140">
        <v>2.7099999999999999E-2</v>
      </c>
      <c r="E37" s="871"/>
    </row>
    <row r="38" spans="2:5" ht="64.900000000000006" customHeight="1">
      <c r="B38" s="1566" t="s">
        <v>980</v>
      </c>
      <c r="C38" s="1567"/>
      <c r="D38" s="1567"/>
      <c r="E38" s="1567"/>
    </row>
    <row r="39" spans="2:5">
      <c r="B39" s="874"/>
      <c r="C39" s="875"/>
      <c r="D39" s="875"/>
      <c r="E39" s="875"/>
    </row>
    <row r="40" spans="2:5" ht="15.75">
      <c r="B40" s="876" t="s">
        <v>64</v>
      </c>
      <c r="C40" s="877" t="s">
        <v>614</v>
      </c>
      <c r="D40" s="877" t="s">
        <v>615</v>
      </c>
      <c r="E40" s="878" t="s">
        <v>537</v>
      </c>
    </row>
    <row r="41" spans="2:5">
      <c r="B41" s="879" t="s">
        <v>536</v>
      </c>
      <c r="C41" s="880">
        <v>1811822367</v>
      </c>
      <c r="D41" s="880">
        <v>29740179</v>
      </c>
      <c r="E41" s="881">
        <f>C41+D41</f>
        <v>1841562546</v>
      </c>
    </row>
    <row r="42" spans="2:5">
      <c r="B42" s="879" t="s">
        <v>535</v>
      </c>
      <c r="C42" s="880">
        <v>1752450105</v>
      </c>
      <c r="D42" s="880">
        <v>25887202</v>
      </c>
      <c r="E42" s="881">
        <f>C42+D42</f>
        <v>1778337307</v>
      </c>
    </row>
    <row r="43" spans="2:5">
      <c r="B43" s="879" t="s">
        <v>222</v>
      </c>
      <c r="C43" s="880">
        <f>AVERAGE(C41:C42)</f>
        <v>1782136236</v>
      </c>
      <c r="D43" s="880">
        <f>AVERAGE(D41:D42)</f>
        <v>27813690.5</v>
      </c>
      <c r="E43" s="881">
        <f>C43+D43</f>
        <v>1809949926.5</v>
      </c>
    </row>
    <row r="44" spans="2:5">
      <c r="B44" s="882" t="s">
        <v>538</v>
      </c>
      <c r="C44" s="880">
        <v>29597240</v>
      </c>
      <c r="D44" s="880">
        <v>752928</v>
      </c>
      <c r="E44" s="881">
        <f>C44+D44</f>
        <v>30350168</v>
      </c>
    </row>
    <row r="45" spans="2:5" ht="15.75">
      <c r="B45" s="883" t="s">
        <v>37</v>
      </c>
      <c r="C45" s="884" t="s">
        <v>406</v>
      </c>
      <c r="D45" s="884" t="s">
        <v>406</v>
      </c>
      <c r="E45" s="885">
        <f>E44/E43</f>
        <v>1.6768512518293692E-2</v>
      </c>
    </row>
    <row r="46" spans="2:5">
      <c r="B46" s="886"/>
      <c r="C46" s="887"/>
      <c r="D46" s="886"/>
      <c r="E46" s="886"/>
    </row>
    <row r="47" spans="2:5">
      <c r="B47" s="1568" t="s">
        <v>620</v>
      </c>
      <c r="C47" s="1569"/>
      <c r="D47" s="1569"/>
      <c r="E47" s="1569"/>
    </row>
    <row r="48" spans="2:5">
      <c r="B48" s="1569"/>
      <c r="C48" s="1569"/>
      <c r="D48" s="1569"/>
      <c r="E48" s="1569"/>
    </row>
    <row r="49" spans="2:5" ht="63" customHeight="1">
      <c r="B49" s="1569"/>
      <c r="C49" s="1569"/>
      <c r="D49" s="1569"/>
      <c r="E49" s="1569"/>
    </row>
  </sheetData>
  <mergeCells count="9">
    <mergeCell ref="B9:E9"/>
    <mergeCell ref="B38:E38"/>
    <mergeCell ref="B47:E49"/>
    <mergeCell ref="B3:E3"/>
    <mergeCell ref="B4:E4"/>
    <mergeCell ref="B5:E5"/>
    <mergeCell ref="B6:E6"/>
    <mergeCell ref="B7:E7"/>
    <mergeCell ref="B8:E8"/>
  </mergeCells>
  <conditionalFormatting sqref="B50:E65536 F4:G9 H3:IV10 B3:B9 C4:E8 B11:IV11 F12:IV65536">
    <cfRule type="cellIs" dxfId="3" priority="4" stopIfTrue="1" operator="lessThan">
      <formula>0</formula>
    </cfRule>
  </conditionalFormatting>
  <conditionalFormatting sqref="B12:C23 D46 B38:B44 B24:D26 B46:B47 D12:D13 E12:E37 D15:D23 C40:E40 B28:D37 C45:E45 E41:E44">
    <cfRule type="cellIs" dxfId="2" priority="3" stopIfTrue="1" operator="lessThan">
      <formula>0</formula>
    </cfRule>
  </conditionalFormatting>
  <conditionalFormatting sqref="B27:D27">
    <cfRule type="cellIs" dxfId="1" priority="2" stopIfTrue="1" operator="lessThan">
      <formula>0</formula>
    </cfRule>
  </conditionalFormatting>
  <conditionalFormatting sqref="C41:D44">
    <cfRule type="cellIs" dxfId="0" priority="1" stopIfTrue="1" operator="lessThan">
      <formula>0</formula>
    </cfRule>
  </conditionalFormatting>
  <pageMargins left="0.55000000000000004" right="0.55000000000000004" top="1.25" bottom="0.75" header="0.75" footer="0.27"/>
  <pageSetup scale="67" orientation="portrait" r:id="rId1"/>
  <headerFooter alignWithMargins="0">
    <oddHeader>&amp;RFormula Rate 
&amp;A
Page &amp;P of &amp;N</oddHead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2">
    <pageSetUpPr fitToPage="1"/>
  </sheetPr>
  <dimension ref="A1:L239"/>
  <sheetViews>
    <sheetView view="pageBreakPreview" zoomScale="75" zoomScaleNormal="75" zoomScaleSheetLayoutView="75" workbookViewId="0">
      <selection activeCell="B7" sqref="B7"/>
    </sheetView>
  </sheetViews>
  <sheetFormatPr defaultRowHeight="12.75"/>
  <cols>
    <col min="1" max="1" width="4.5703125" style="888" customWidth="1"/>
    <col min="2" max="2" width="68.140625" style="888" customWidth="1"/>
    <col min="3" max="3" width="18.140625" style="888" customWidth="1"/>
    <col min="4" max="4" width="2.140625" style="888" customWidth="1"/>
    <col min="5" max="5" width="17.28515625" style="888" customWidth="1"/>
    <col min="6" max="6" width="16.28515625" style="888" customWidth="1"/>
    <col min="7" max="7" width="14.5703125" style="888" customWidth="1"/>
    <col min="8" max="8" width="17.5703125" style="888" customWidth="1"/>
    <col min="9" max="9" width="14.42578125" style="888" customWidth="1"/>
    <col min="10" max="10" width="15.7109375" style="888" customWidth="1"/>
    <col min="11" max="16384" width="9.140625" style="888"/>
  </cols>
  <sheetData>
    <row r="1" spans="1:10" ht="15.75">
      <c r="A1" s="1005" t="s">
        <v>406</v>
      </c>
    </row>
    <row r="2" spans="1:10" ht="15.75">
      <c r="A2" s="1005" t="s">
        <v>406</v>
      </c>
    </row>
    <row r="3" spans="1:10" ht="39.6" customHeight="1">
      <c r="A3" s="1573" t="s">
        <v>505</v>
      </c>
      <c r="B3" s="1573"/>
      <c r="C3" s="1573"/>
      <c r="D3" s="1573"/>
      <c r="E3" s="1573"/>
      <c r="F3" s="1573"/>
      <c r="G3" s="1573"/>
      <c r="H3" s="1573"/>
      <c r="I3" s="1573"/>
      <c r="J3" s="1573"/>
    </row>
    <row r="4" spans="1:10">
      <c r="A4" s="1573" t="str">
        <f>"Consolidation of Operating Companies' Capital Structure @ December 31, "&amp;TCOS!L4&amp;""</f>
        <v>Consolidation of Operating Companies' Capital Structure @ December 31, 2025</v>
      </c>
      <c r="B4" s="1573"/>
      <c r="C4" s="1573"/>
      <c r="D4" s="1573"/>
      <c r="E4" s="1573"/>
      <c r="F4" s="1573"/>
      <c r="G4" s="1573"/>
      <c r="H4" s="1573"/>
      <c r="I4" s="1573"/>
      <c r="J4" s="1573"/>
    </row>
    <row r="5" spans="1:10">
      <c r="A5" s="1573" t="s">
        <v>248</v>
      </c>
      <c r="B5" s="1573"/>
      <c r="C5" s="1573"/>
      <c r="D5" s="1573"/>
      <c r="E5" s="1573"/>
      <c r="F5" s="1573"/>
      <c r="G5" s="1573"/>
      <c r="H5" s="1573"/>
      <c r="I5" s="1573"/>
      <c r="J5" s="1573"/>
    </row>
    <row r="6" spans="1:10" ht="17.45" customHeight="1"/>
    <row r="7" spans="1:10" ht="76.5">
      <c r="A7" s="888" t="s">
        <v>459</v>
      </c>
      <c r="C7" s="889" t="s">
        <v>506</v>
      </c>
      <c r="D7" s="889"/>
      <c r="E7" s="889" t="s">
        <v>507</v>
      </c>
      <c r="F7" s="889" t="s">
        <v>508</v>
      </c>
      <c r="G7" s="889" t="s">
        <v>509</v>
      </c>
      <c r="H7" s="889" t="s">
        <v>510</v>
      </c>
      <c r="I7" s="889" t="s">
        <v>511</v>
      </c>
      <c r="J7" s="889" t="s">
        <v>512</v>
      </c>
    </row>
    <row r="8" spans="1:10" ht="15">
      <c r="A8" s="847" t="s">
        <v>513</v>
      </c>
    </row>
    <row r="9" spans="1:10">
      <c r="A9" s="888">
        <v>1</v>
      </c>
      <c r="B9" s="851" t="s">
        <v>338</v>
      </c>
      <c r="C9" s="854"/>
      <c r="D9" s="854"/>
      <c r="E9" s="854"/>
      <c r="F9" s="854"/>
      <c r="G9" s="854"/>
      <c r="H9" s="854"/>
      <c r="I9" s="854"/>
      <c r="J9" s="834">
        <f>SUM(C9:I9)</f>
        <v>0</v>
      </c>
    </row>
    <row r="10" spans="1:10">
      <c r="A10" s="888">
        <f>A9+1</f>
        <v>2</v>
      </c>
      <c r="B10" s="851" t="s">
        <v>339</v>
      </c>
      <c r="C10" s="854"/>
      <c r="D10" s="854"/>
      <c r="E10" s="854"/>
      <c r="F10" s="854"/>
      <c r="G10" s="854"/>
      <c r="H10" s="854"/>
      <c r="I10" s="854"/>
      <c r="J10" s="834">
        <f>SUM(C10:I10)</f>
        <v>0</v>
      </c>
    </row>
    <row r="11" spans="1:10">
      <c r="A11" s="888">
        <f>A10+1</f>
        <v>3</v>
      </c>
      <c r="B11" s="852" t="s">
        <v>23</v>
      </c>
      <c r="C11" s="854"/>
      <c r="D11" s="854"/>
      <c r="E11" s="854"/>
      <c r="F11" s="854"/>
      <c r="G11" s="854"/>
      <c r="H11" s="854"/>
      <c r="I11" s="854"/>
      <c r="J11" s="834">
        <f>SUM(C11:I11)</f>
        <v>0</v>
      </c>
    </row>
    <row r="12" spans="1:10">
      <c r="A12" s="888">
        <f>A11+1</f>
        <v>4</v>
      </c>
      <c r="B12" s="852" t="s">
        <v>17</v>
      </c>
      <c r="C12" s="854"/>
      <c r="D12" s="854"/>
      <c r="E12" s="854"/>
      <c r="F12" s="854"/>
      <c r="G12" s="854"/>
      <c r="H12" s="854"/>
      <c r="I12" s="854"/>
      <c r="J12" s="834">
        <f>SUM(C12:I12)</f>
        <v>0</v>
      </c>
    </row>
    <row r="13" spans="1:10">
      <c r="A13" s="888">
        <f>A12+1</f>
        <v>5</v>
      </c>
      <c r="B13" s="852" t="str">
        <f>"Less: Fair Value Hedges (See Note on Ln "&amp;A16&amp;" below)"</f>
        <v>Less: Fair Value Hedges (See Note on Ln 7 below)</v>
      </c>
      <c r="C13" s="147"/>
      <c r="D13" s="147"/>
      <c r="E13" s="147"/>
      <c r="F13" s="147"/>
      <c r="G13" s="147"/>
      <c r="H13" s="147"/>
      <c r="I13" s="147"/>
      <c r="J13" s="890">
        <f>SUM(C13:I13)</f>
        <v>0</v>
      </c>
    </row>
    <row r="14" spans="1:10">
      <c r="A14" s="888">
        <f>A13+1</f>
        <v>6</v>
      </c>
      <c r="B14" s="853" t="s">
        <v>59</v>
      </c>
      <c r="C14" s="891">
        <f t="shared" ref="C14:J14" si="0">C9-C10+C11+C12-C13</f>
        <v>0</v>
      </c>
      <c r="D14" s="891"/>
      <c r="E14" s="891">
        <f t="shared" si="0"/>
        <v>0</v>
      </c>
      <c r="F14" s="891">
        <f t="shared" si="0"/>
        <v>0</v>
      </c>
      <c r="G14" s="891">
        <f t="shared" si="0"/>
        <v>0</v>
      </c>
      <c r="H14" s="891">
        <f t="shared" si="0"/>
        <v>0</v>
      </c>
      <c r="I14" s="891">
        <f t="shared" si="0"/>
        <v>0</v>
      </c>
      <c r="J14" s="891">
        <f t="shared" si="0"/>
        <v>0</v>
      </c>
    </row>
    <row r="16" spans="1:10" ht="12.75" customHeight="1">
      <c r="A16" s="888">
        <f>A14+1</f>
        <v>7</v>
      </c>
      <c r="B16" s="1572" t="s">
        <v>545</v>
      </c>
      <c r="C16" s="1572"/>
      <c r="D16" s="1572"/>
      <c r="E16" s="1572"/>
      <c r="F16" s="1572"/>
      <c r="G16" s="1572"/>
      <c r="H16" s="1572"/>
      <c r="I16" s="1572"/>
      <c r="J16" s="1572"/>
    </row>
    <row r="17" spans="1:10" ht="12.75" customHeight="1">
      <c r="B17" s="892"/>
      <c r="C17" s="892"/>
      <c r="D17" s="892"/>
      <c r="E17" s="892"/>
      <c r="F17" s="892"/>
      <c r="G17" s="892"/>
      <c r="H17" s="892"/>
      <c r="I17" s="892"/>
      <c r="J17" s="892"/>
    </row>
    <row r="18" spans="1:10" ht="15">
      <c r="A18" s="847" t="s">
        <v>514</v>
      </c>
    </row>
    <row r="19" spans="1:10">
      <c r="A19" s="888">
        <f>A16+1</f>
        <v>8</v>
      </c>
      <c r="B19" s="851" t="s">
        <v>340</v>
      </c>
      <c r="C19" s="146"/>
      <c r="D19" s="146"/>
      <c r="E19" s="146"/>
      <c r="F19" s="146"/>
      <c r="G19" s="146"/>
      <c r="H19" s="146"/>
      <c r="I19" s="146"/>
      <c r="J19" s="489">
        <f t="shared" ref="J19:J24" si="1">SUM(C19:I19)</f>
        <v>0</v>
      </c>
    </row>
    <row r="20" spans="1:10">
      <c r="A20" s="888">
        <f t="shared" ref="A20:A25" si="2">A19+1</f>
        <v>9</v>
      </c>
      <c r="B20" s="851" t="s">
        <v>333</v>
      </c>
      <c r="C20" s="146"/>
      <c r="D20" s="146"/>
      <c r="E20" s="146"/>
      <c r="F20" s="146"/>
      <c r="G20" s="146"/>
      <c r="H20" s="146"/>
      <c r="I20" s="146"/>
      <c r="J20" s="489">
        <f t="shared" si="1"/>
        <v>0</v>
      </c>
    </row>
    <row r="21" spans="1:10">
      <c r="A21" s="888">
        <f t="shared" si="2"/>
        <v>10</v>
      </c>
      <c r="B21" s="851" t="s">
        <v>334</v>
      </c>
      <c r="C21" s="146"/>
      <c r="D21" s="146"/>
      <c r="E21" s="146"/>
      <c r="F21" s="146"/>
      <c r="G21" s="146"/>
      <c r="H21" s="146"/>
      <c r="I21" s="146"/>
      <c r="J21" s="489">
        <f t="shared" si="1"/>
        <v>0</v>
      </c>
    </row>
    <row r="22" spans="1:10">
      <c r="A22" s="888">
        <f t="shared" si="2"/>
        <v>11</v>
      </c>
      <c r="B22" s="851" t="s">
        <v>335</v>
      </c>
      <c r="C22" s="854"/>
      <c r="D22" s="854"/>
      <c r="E22" s="854"/>
      <c r="F22" s="854"/>
      <c r="G22" s="854"/>
      <c r="H22" s="854"/>
      <c r="I22" s="854"/>
      <c r="J22" s="834">
        <f t="shared" si="1"/>
        <v>0</v>
      </c>
    </row>
    <row r="23" spans="1:10">
      <c r="A23" s="888">
        <f t="shared" si="2"/>
        <v>12</v>
      </c>
      <c r="B23" s="851" t="s">
        <v>336</v>
      </c>
      <c r="C23" s="854"/>
      <c r="D23" s="854"/>
      <c r="E23" s="854"/>
      <c r="F23" s="854"/>
      <c r="G23" s="854"/>
      <c r="H23" s="854"/>
      <c r="I23" s="854"/>
      <c r="J23" s="834">
        <f t="shared" si="1"/>
        <v>0</v>
      </c>
    </row>
    <row r="24" spans="1:10">
      <c r="A24" s="888">
        <f t="shared" si="2"/>
        <v>13</v>
      </c>
      <c r="B24" s="893" t="s">
        <v>515</v>
      </c>
      <c r="C24" s="147"/>
      <c r="D24" s="147"/>
      <c r="E24" s="147"/>
      <c r="F24" s="147"/>
      <c r="G24" s="147"/>
      <c r="H24" s="147"/>
      <c r="I24" s="147"/>
      <c r="J24" s="890">
        <f t="shared" si="1"/>
        <v>0</v>
      </c>
    </row>
    <row r="25" spans="1:10">
      <c r="A25" s="888">
        <f t="shared" si="2"/>
        <v>14</v>
      </c>
      <c r="B25" s="894" t="s">
        <v>60</v>
      </c>
      <c r="C25" s="895">
        <f t="shared" ref="C25:J25" si="3">C19+C20+C21-C22-C23-C24</f>
        <v>0</v>
      </c>
      <c r="D25" s="895"/>
      <c r="E25" s="895">
        <f t="shared" si="3"/>
        <v>0</v>
      </c>
      <c r="F25" s="895">
        <f t="shared" si="3"/>
        <v>0</v>
      </c>
      <c r="G25" s="895">
        <f t="shared" si="3"/>
        <v>0</v>
      </c>
      <c r="H25" s="895">
        <f t="shared" si="3"/>
        <v>0</v>
      </c>
      <c r="I25" s="895">
        <f t="shared" si="3"/>
        <v>0</v>
      </c>
      <c r="J25" s="895">
        <f t="shared" si="3"/>
        <v>0</v>
      </c>
    </row>
    <row r="27" spans="1:10" ht="15">
      <c r="A27" s="847" t="s">
        <v>516</v>
      </c>
      <c r="B27" s="896"/>
      <c r="C27" s="896"/>
      <c r="D27" s="896"/>
      <c r="E27" s="896"/>
    </row>
    <row r="28" spans="1:10">
      <c r="A28" s="888">
        <f>A25+1</f>
        <v>15</v>
      </c>
      <c r="B28" s="850" t="s">
        <v>517</v>
      </c>
      <c r="C28" s="855"/>
      <c r="D28" s="917"/>
      <c r="E28" s="918"/>
      <c r="F28" s="917"/>
      <c r="G28" s="917"/>
      <c r="H28" s="855"/>
      <c r="I28" s="917"/>
      <c r="J28" s="897"/>
    </row>
    <row r="29" spans="1:10">
      <c r="A29" s="888">
        <f>A28+1</f>
        <v>16</v>
      </c>
      <c r="B29" s="850" t="s">
        <v>518</v>
      </c>
      <c r="C29" s="856"/>
      <c r="D29" s="919"/>
      <c r="E29" s="856"/>
      <c r="F29" s="919"/>
      <c r="G29" s="919"/>
      <c r="H29" s="856"/>
      <c r="I29" s="919"/>
      <c r="J29" s="898"/>
    </row>
    <row r="30" spans="1:10">
      <c r="A30" s="888">
        <f>A29+1</f>
        <v>17</v>
      </c>
      <c r="B30" s="850" t="s">
        <v>519</v>
      </c>
      <c r="C30" s="146"/>
      <c r="D30" s="920"/>
      <c r="E30" s="146"/>
      <c r="F30" s="920"/>
      <c r="G30" s="920"/>
      <c r="H30" s="146"/>
      <c r="I30" s="920"/>
    </row>
    <row r="31" spans="1:10">
      <c r="A31" s="888">
        <f>A30+1</f>
        <v>18</v>
      </c>
      <c r="B31" s="850" t="str">
        <f>"Monetary Value (Ln "&amp;A29&amp;" * Ln "&amp;A30&amp;")"</f>
        <v>Monetary Value (Ln 16 * Ln 17)</v>
      </c>
      <c r="C31" s="488">
        <f t="shared" ref="C31:I31" si="4">C29*C30</f>
        <v>0</v>
      </c>
      <c r="D31" s="488"/>
      <c r="E31" s="488">
        <f t="shared" si="4"/>
        <v>0</v>
      </c>
      <c r="F31" s="488">
        <f t="shared" si="4"/>
        <v>0</v>
      </c>
      <c r="G31" s="488">
        <f t="shared" si="4"/>
        <v>0</v>
      </c>
      <c r="H31" s="488">
        <f t="shared" si="4"/>
        <v>0</v>
      </c>
      <c r="I31" s="488">
        <f t="shared" si="4"/>
        <v>0</v>
      </c>
      <c r="J31" s="895">
        <f>SUM(C31:I31)</f>
        <v>0</v>
      </c>
    </row>
    <row r="32" spans="1:10">
      <c r="A32" s="888">
        <f>A31+1</f>
        <v>19</v>
      </c>
      <c r="B32" s="850" t="str">
        <f>"Dividend Amount (Ln "&amp;A28&amp;" * Ln "&amp;A31&amp;")"</f>
        <v>Dividend Amount (Ln 15 * Ln 18)</v>
      </c>
      <c r="C32" s="488">
        <f t="shared" ref="C32:I32" si="5">C31*C28</f>
        <v>0</v>
      </c>
      <c r="D32" s="488"/>
      <c r="E32" s="488">
        <f t="shared" si="5"/>
        <v>0</v>
      </c>
      <c r="F32" s="488">
        <f t="shared" si="5"/>
        <v>0</v>
      </c>
      <c r="G32" s="488">
        <f t="shared" si="5"/>
        <v>0</v>
      </c>
      <c r="H32" s="488">
        <f t="shared" si="5"/>
        <v>0</v>
      </c>
      <c r="I32" s="488">
        <f t="shared" si="5"/>
        <v>0</v>
      </c>
      <c r="J32" s="895">
        <f>SUM(C32:I32)</f>
        <v>0</v>
      </c>
    </row>
    <row r="34" spans="1:10">
      <c r="A34" s="888">
        <f>A32+1</f>
        <v>20</v>
      </c>
      <c r="B34" s="850" t="s">
        <v>517</v>
      </c>
      <c r="C34" s="855"/>
      <c r="D34" s="917"/>
      <c r="E34" s="918"/>
      <c r="F34" s="917"/>
      <c r="G34" s="917"/>
      <c r="H34" s="855"/>
      <c r="I34" s="917"/>
    </row>
    <row r="35" spans="1:10">
      <c r="A35" s="888">
        <f>A34+1</f>
        <v>21</v>
      </c>
      <c r="B35" s="850" t="s">
        <v>518</v>
      </c>
      <c r="C35" s="856"/>
      <c r="D35" s="919"/>
      <c r="E35" s="856"/>
      <c r="F35" s="919"/>
      <c r="G35" s="919"/>
      <c r="H35" s="856"/>
      <c r="I35" s="919"/>
    </row>
    <row r="36" spans="1:10">
      <c r="A36" s="888">
        <f>A35+1</f>
        <v>22</v>
      </c>
      <c r="B36" s="850" t="s">
        <v>519</v>
      </c>
      <c r="C36" s="146"/>
      <c r="D36" s="920"/>
      <c r="E36" s="146"/>
      <c r="F36" s="920"/>
      <c r="G36" s="920"/>
      <c r="H36" s="146"/>
      <c r="I36" s="920"/>
    </row>
    <row r="37" spans="1:10">
      <c r="A37" s="888">
        <f>A36+1</f>
        <v>23</v>
      </c>
      <c r="B37" s="850" t="str">
        <f>"Monetary Value (Ln "&amp;A35&amp;" * Ln "&amp;A36&amp;")"</f>
        <v>Monetary Value (Ln 21 * Ln 22)</v>
      </c>
      <c r="C37" s="488">
        <f t="shared" ref="C37:I37" si="6">C35*C36</f>
        <v>0</v>
      </c>
      <c r="D37" s="488"/>
      <c r="E37" s="488">
        <f t="shared" si="6"/>
        <v>0</v>
      </c>
      <c r="F37" s="488">
        <f t="shared" si="6"/>
        <v>0</v>
      </c>
      <c r="G37" s="488">
        <f t="shared" si="6"/>
        <v>0</v>
      </c>
      <c r="H37" s="488">
        <f t="shared" si="6"/>
        <v>0</v>
      </c>
      <c r="I37" s="488">
        <f t="shared" si="6"/>
        <v>0</v>
      </c>
      <c r="J37" s="895">
        <f>SUM(C37:I37)</f>
        <v>0</v>
      </c>
    </row>
    <row r="38" spans="1:10">
      <c r="A38" s="888">
        <f>A37+1</f>
        <v>24</v>
      </c>
      <c r="B38" s="850" t="str">
        <f>"Dividend Amount (Ln "&amp;A34&amp;" * Ln "&amp;A37&amp;")"</f>
        <v>Dividend Amount (Ln 20 * Ln 23)</v>
      </c>
      <c r="C38" s="488">
        <f t="shared" ref="C38:I38" si="7">C37*C34</f>
        <v>0</v>
      </c>
      <c r="D38" s="488"/>
      <c r="E38" s="488">
        <f t="shared" si="7"/>
        <v>0</v>
      </c>
      <c r="F38" s="488">
        <f t="shared" si="7"/>
        <v>0</v>
      </c>
      <c r="G38" s="488">
        <f t="shared" si="7"/>
        <v>0</v>
      </c>
      <c r="H38" s="488">
        <f t="shared" si="7"/>
        <v>0</v>
      </c>
      <c r="I38" s="488">
        <f t="shared" si="7"/>
        <v>0</v>
      </c>
      <c r="J38" s="895">
        <f>SUM(C38:I38)</f>
        <v>0</v>
      </c>
    </row>
    <row r="40" spans="1:10">
      <c r="A40" s="888">
        <f>A38+1</f>
        <v>25</v>
      </c>
      <c r="B40" s="850" t="s">
        <v>517</v>
      </c>
      <c r="C40" s="855"/>
      <c r="D40" s="917"/>
      <c r="E40" s="918"/>
      <c r="F40" s="917"/>
      <c r="G40" s="917"/>
      <c r="H40" s="855"/>
      <c r="I40" s="917"/>
    </row>
    <row r="41" spans="1:10">
      <c r="A41" s="888">
        <f>A40+1</f>
        <v>26</v>
      </c>
      <c r="B41" s="850" t="s">
        <v>518</v>
      </c>
      <c r="C41" s="856"/>
      <c r="D41" s="919"/>
      <c r="E41" s="856"/>
      <c r="F41" s="919"/>
      <c r="G41" s="919"/>
      <c r="H41" s="856"/>
      <c r="I41" s="919"/>
    </row>
    <row r="42" spans="1:10">
      <c r="A42" s="888">
        <f>A41+1</f>
        <v>27</v>
      </c>
      <c r="B42" s="850" t="s">
        <v>519</v>
      </c>
      <c r="C42" s="146"/>
      <c r="D42" s="920"/>
      <c r="E42" s="146"/>
      <c r="F42" s="920"/>
      <c r="G42" s="920"/>
      <c r="H42" s="146"/>
      <c r="I42" s="920"/>
    </row>
    <row r="43" spans="1:10">
      <c r="A43" s="888">
        <f>A42+1</f>
        <v>28</v>
      </c>
      <c r="B43" s="850" t="str">
        <f>"Monetary Value (Ln "&amp;A41&amp;" * Ln "&amp;A42&amp;")"</f>
        <v>Monetary Value (Ln 26 * Ln 27)</v>
      </c>
      <c r="C43" s="488">
        <f t="shared" ref="C43:I43" si="8">C41*C42</f>
        <v>0</v>
      </c>
      <c r="D43" s="488"/>
      <c r="E43" s="488">
        <f t="shared" si="8"/>
        <v>0</v>
      </c>
      <c r="F43" s="488">
        <f t="shared" si="8"/>
        <v>0</v>
      </c>
      <c r="G43" s="488">
        <f t="shared" si="8"/>
        <v>0</v>
      </c>
      <c r="H43" s="488">
        <f t="shared" si="8"/>
        <v>0</v>
      </c>
      <c r="I43" s="488">
        <f t="shared" si="8"/>
        <v>0</v>
      </c>
      <c r="J43" s="895">
        <f>SUM(C43:I43)</f>
        <v>0</v>
      </c>
    </row>
    <row r="44" spans="1:10">
      <c r="A44" s="888">
        <f>A43+1</f>
        <v>29</v>
      </c>
      <c r="B44" s="850" t="str">
        <f>"Dividend Amount (Ln "&amp;A40&amp;" * Ln "&amp;A43&amp;")"</f>
        <v>Dividend Amount (Ln 25 * Ln 28)</v>
      </c>
      <c r="C44" s="488">
        <f t="shared" ref="C44:I44" si="9">C43*C40</f>
        <v>0</v>
      </c>
      <c r="D44" s="488"/>
      <c r="E44" s="488">
        <f t="shared" si="9"/>
        <v>0</v>
      </c>
      <c r="F44" s="488">
        <f t="shared" si="9"/>
        <v>0</v>
      </c>
      <c r="G44" s="488">
        <f t="shared" si="9"/>
        <v>0</v>
      </c>
      <c r="H44" s="488">
        <f t="shared" si="9"/>
        <v>0</v>
      </c>
      <c r="I44" s="488">
        <f t="shared" si="9"/>
        <v>0</v>
      </c>
      <c r="J44" s="895">
        <f>SUM(C44:I44)</f>
        <v>0</v>
      </c>
    </row>
    <row r="46" spans="1:10">
      <c r="A46" s="888">
        <f>A44+1</f>
        <v>30</v>
      </c>
      <c r="B46" s="850" t="s">
        <v>517</v>
      </c>
      <c r="C46" s="855"/>
      <c r="D46" s="917"/>
      <c r="E46" s="918"/>
      <c r="F46" s="917"/>
      <c r="G46" s="917"/>
      <c r="H46" s="855"/>
      <c r="I46" s="917"/>
    </row>
    <row r="47" spans="1:10">
      <c r="A47" s="888">
        <f>A46+1</f>
        <v>31</v>
      </c>
      <c r="B47" s="850" t="s">
        <v>518</v>
      </c>
      <c r="C47" s="856"/>
      <c r="D47" s="919"/>
      <c r="E47" s="856"/>
      <c r="F47" s="919"/>
      <c r="G47" s="919"/>
      <c r="H47" s="856"/>
      <c r="I47" s="919"/>
    </row>
    <row r="48" spans="1:10">
      <c r="A48" s="888">
        <f>A47+1</f>
        <v>32</v>
      </c>
      <c r="B48" s="850" t="s">
        <v>519</v>
      </c>
      <c r="C48" s="146"/>
      <c r="D48" s="920"/>
      <c r="E48" s="146"/>
      <c r="F48" s="920"/>
      <c r="G48" s="920"/>
      <c r="H48" s="146"/>
      <c r="I48" s="920"/>
    </row>
    <row r="49" spans="1:10">
      <c r="A49" s="888">
        <f>A48+1</f>
        <v>33</v>
      </c>
      <c r="B49" s="850" t="str">
        <f>"Monetary Value (Ln "&amp;A47&amp;" * Ln "&amp;A48&amp;")"</f>
        <v>Monetary Value (Ln 31 * Ln 32)</v>
      </c>
      <c r="C49" s="488">
        <f t="shared" ref="C49:I49" si="10">C47*C48</f>
        <v>0</v>
      </c>
      <c r="D49" s="488"/>
      <c r="E49" s="488">
        <f t="shared" si="10"/>
        <v>0</v>
      </c>
      <c r="F49" s="488">
        <f t="shared" si="10"/>
        <v>0</v>
      </c>
      <c r="G49" s="488">
        <f t="shared" si="10"/>
        <v>0</v>
      </c>
      <c r="H49" s="488">
        <f t="shared" si="10"/>
        <v>0</v>
      </c>
      <c r="I49" s="488">
        <f t="shared" si="10"/>
        <v>0</v>
      </c>
      <c r="J49" s="895">
        <f>SUM(C49:I49)</f>
        <v>0</v>
      </c>
    </row>
    <row r="50" spans="1:10">
      <c r="A50" s="888">
        <f>A49+1</f>
        <v>34</v>
      </c>
      <c r="B50" s="850" t="str">
        <f>"Dividend Amount (Ln "&amp;A46&amp;" * Ln "&amp;A49&amp;")"</f>
        <v>Dividend Amount (Ln 30 * Ln 33)</v>
      </c>
      <c r="C50" s="488">
        <f t="shared" ref="C50:I50" si="11">C49*C46</f>
        <v>0</v>
      </c>
      <c r="D50" s="488"/>
      <c r="E50" s="488">
        <f t="shared" si="11"/>
        <v>0</v>
      </c>
      <c r="F50" s="488">
        <f t="shared" si="11"/>
        <v>0</v>
      </c>
      <c r="G50" s="488">
        <f t="shared" si="11"/>
        <v>0</v>
      </c>
      <c r="H50" s="488">
        <f t="shared" si="11"/>
        <v>0</v>
      </c>
      <c r="I50" s="488">
        <f t="shared" si="11"/>
        <v>0</v>
      </c>
      <c r="J50" s="895">
        <f>SUM(C50:I50)</f>
        <v>0</v>
      </c>
    </row>
    <row r="51" spans="1:10">
      <c r="B51" s="850"/>
    </row>
    <row r="52" spans="1:10">
      <c r="A52" s="888">
        <f>A50+1</f>
        <v>35</v>
      </c>
      <c r="B52" s="848" t="str">
        <f>"Preferred Stock (Lns "&amp;A31&amp;", "&amp;A37&amp;", "&amp;A43&amp;","&amp;A49&amp;")"</f>
        <v>Preferred Stock (Lns 18, 23, 28,33)</v>
      </c>
      <c r="C52" s="895">
        <f t="shared" ref="C52:I53" si="12">C31+C37+C43+C49</f>
        <v>0</v>
      </c>
      <c r="D52" s="895"/>
      <c r="E52" s="895">
        <f t="shared" si="12"/>
        <v>0</v>
      </c>
      <c r="F52" s="895">
        <f t="shared" si="12"/>
        <v>0</v>
      </c>
      <c r="G52" s="895">
        <f t="shared" si="12"/>
        <v>0</v>
      </c>
      <c r="H52" s="895">
        <f t="shared" si="12"/>
        <v>0</v>
      </c>
      <c r="I52" s="895">
        <f t="shared" si="12"/>
        <v>0</v>
      </c>
      <c r="J52" s="895">
        <f>SUM(C52:I52)</f>
        <v>0</v>
      </c>
    </row>
    <row r="53" spans="1:10">
      <c r="A53" s="888">
        <f>A52+1</f>
        <v>36</v>
      </c>
      <c r="B53" s="848" t="str">
        <f>"Preferred Dividends (Lns "&amp;A32&amp;", "&amp;A38&amp;", "&amp;A44&amp;","&amp;A50&amp;")"</f>
        <v>Preferred Dividends (Lns 19, 24, 29,34)</v>
      </c>
      <c r="C53" s="895">
        <f t="shared" si="12"/>
        <v>0</v>
      </c>
      <c r="D53" s="895"/>
      <c r="E53" s="895">
        <f t="shared" si="12"/>
        <v>0</v>
      </c>
      <c r="F53" s="895">
        <f t="shared" si="12"/>
        <v>0</v>
      </c>
      <c r="G53" s="895">
        <f t="shared" si="12"/>
        <v>0</v>
      </c>
      <c r="H53" s="895">
        <f t="shared" si="12"/>
        <v>0</v>
      </c>
      <c r="I53" s="895">
        <f t="shared" si="12"/>
        <v>0</v>
      </c>
      <c r="J53" s="895">
        <f>SUM(C53:I53)</f>
        <v>0</v>
      </c>
    </row>
    <row r="54" spans="1:10">
      <c r="B54" s="899"/>
    </row>
    <row r="55" spans="1:10" ht="15">
      <c r="A55" s="847" t="s">
        <v>520</v>
      </c>
    </row>
    <row r="56" spans="1:10">
      <c r="A56" s="888">
        <f>A53+1</f>
        <v>37</v>
      </c>
      <c r="B56" s="666" t="s">
        <v>521</v>
      </c>
      <c r="C56" s="146"/>
      <c r="D56" s="146"/>
      <c r="E56" s="146"/>
      <c r="F56" s="146"/>
      <c r="G56" s="146"/>
      <c r="H56" s="146"/>
      <c r="I56" s="146"/>
      <c r="J56" s="895">
        <f>SUM(C56:I56)</f>
        <v>0</v>
      </c>
    </row>
    <row r="57" spans="1:10">
      <c r="A57" s="888">
        <f>A56+1</f>
        <v>38</v>
      </c>
      <c r="B57" s="666" t="str">
        <f>"Less: Preferred Stock (Ln "&amp;A52&amp;" Above)"</f>
        <v>Less: Preferred Stock (Ln 35 Above)</v>
      </c>
      <c r="C57" s="489">
        <f t="shared" ref="C57:I57" si="13">C52</f>
        <v>0</v>
      </c>
      <c r="D57" s="489"/>
      <c r="E57" s="489">
        <f t="shared" si="13"/>
        <v>0</v>
      </c>
      <c r="F57" s="489">
        <f t="shared" si="13"/>
        <v>0</v>
      </c>
      <c r="G57" s="489">
        <f t="shared" si="13"/>
        <v>0</v>
      </c>
      <c r="H57" s="489">
        <f t="shared" si="13"/>
        <v>0</v>
      </c>
      <c r="I57" s="489">
        <f t="shared" si="13"/>
        <v>0</v>
      </c>
      <c r="J57" s="895">
        <f>SUM(C57:I57)</f>
        <v>0</v>
      </c>
    </row>
    <row r="58" spans="1:10">
      <c r="A58" s="888">
        <f>A57+1</f>
        <v>39</v>
      </c>
      <c r="B58" s="666" t="s">
        <v>522</v>
      </c>
      <c r="C58" s="854"/>
      <c r="D58" s="854"/>
      <c r="E58" s="854"/>
      <c r="F58" s="854"/>
      <c r="G58" s="854"/>
      <c r="H58" s="854"/>
      <c r="I58" s="854"/>
      <c r="J58" s="895">
        <f>SUM(C58:I58)</f>
        <v>0</v>
      </c>
    </row>
    <row r="59" spans="1:10">
      <c r="A59" s="888">
        <f>A58+1</f>
        <v>40</v>
      </c>
      <c r="B59" s="666" t="s">
        <v>523</v>
      </c>
      <c r="C59" s="147"/>
      <c r="D59" s="147"/>
      <c r="E59" s="147"/>
      <c r="F59" s="147"/>
      <c r="G59" s="147"/>
      <c r="H59" s="147"/>
      <c r="I59" s="147"/>
      <c r="J59" s="900">
        <f>SUM(C59:I59)</f>
        <v>0</v>
      </c>
    </row>
    <row r="60" spans="1:10">
      <c r="A60" s="888">
        <f>A59+1</f>
        <v>41</v>
      </c>
      <c r="B60" s="849" t="s">
        <v>524</v>
      </c>
      <c r="C60" s="834">
        <f t="shared" ref="C60:J60" si="14">C56-C57-C58-C59</f>
        <v>0</v>
      </c>
      <c r="D60" s="834"/>
      <c r="E60" s="834">
        <f t="shared" si="14"/>
        <v>0</v>
      </c>
      <c r="F60" s="834">
        <f t="shared" si="14"/>
        <v>0</v>
      </c>
      <c r="G60" s="834">
        <f t="shared" si="14"/>
        <v>0</v>
      </c>
      <c r="H60" s="834">
        <f t="shared" si="14"/>
        <v>0</v>
      </c>
      <c r="I60" s="834">
        <f t="shared" si="14"/>
        <v>0</v>
      </c>
      <c r="J60" s="834">
        <f t="shared" si="14"/>
        <v>0</v>
      </c>
    </row>
    <row r="62" spans="1:10" ht="15">
      <c r="A62" s="847" t="s">
        <v>525</v>
      </c>
    </row>
    <row r="63" spans="1:10">
      <c r="A63" s="888">
        <f>A60+1</f>
        <v>42</v>
      </c>
      <c r="B63" s="468" t="str">
        <f>"Long Term Debt (Ln "&amp;A14&amp;" Above)"</f>
        <v>Long Term Debt (Ln 6 Above)</v>
      </c>
      <c r="C63" s="895">
        <f t="shared" ref="C63:J63" si="15">C14</f>
        <v>0</v>
      </c>
      <c r="D63" s="895"/>
      <c r="E63" s="895">
        <f t="shared" si="15"/>
        <v>0</v>
      </c>
      <c r="F63" s="895">
        <f t="shared" si="15"/>
        <v>0</v>
      </c>
      <c r="G63" s="895">
        <f t="shared" si="15"/>
        <v>0</v>
      </c>
      <c r="H63" s="895">
        <f t="shared" si="15"/>
        <v>0</v>
      </c>
      <c r="I63" s="895">
        <f t="shared" si="15"/>
        <v>0</v>
      </c>
      <c r="J63" s="895">
        <f t="shared" si="15"/>
        <v>0</v>
      </c>
    </row>
    <row r="64" spans="1:10">
      <c r="A64" s="888">
        <f>A63+1</f>
        <v>43</v>
      </c>
      <c r="B64" s="468" t="str">
        <f>"Preferred Stock (Ln "&amp;A52&amp;" Above)"</f>
        <v>Preferred Stock (Ln 35 Above)</v>
      </c>
      <c r="C64" s="895">
        <f t="shared" ref="C64:J64" si="16">C52</f>
        <v>0</v>
      </c>
      <c r="D64" s="895"/>
      <c r="E64" s="895">
        <f t="shared" si="16"/>
        <v>0</v>
      </c>
      <c r="F64" s="895">
        <f t="shared" si="16"/>
        <v>0</v>
      </c>
      <c r="G64" s="895">
        <f t="shared" si="16"/>
        <v>0</v>
      </c>
      <c r="H64" s="895">
        <f t="shared" si="16"/>
        <v>0</v>
      </c>
      <c r="I64" s="895">
        <f t="shared" si="16"/>
        <v>0</v>
      </c>
      <c r="J64" s="895">
        <f t="shared" si="16"/>
        <v>0</v>
      </c>
    </row>
    <row r="65" spans="1:10">
      <c r="A65" s="888">
        <f>A64+1</f>
        <v>44</v>
      </c>
      <c r="B65" s="468" t="str">
        <f>"Common Equity (Ln "&amp;A60&amp;" Above)"</f>
        <v>Common Equity (Ln 41 Above)</v>
      </c>
      <c r="C65" s="900">
        <f t="shared" ref="C65:J65" si="17">C60</f>
        <v>0</v>
      </c>
      <c r="D65" s="900"/>
      <c r="E65" s="900">
        <f t="shared" si="17"/>
        <v>0</v>
      </c>
      <c r="F65" s="900">
        <f t="shared" si="17"/>
        <v>0</v>
      </c>
      <c r="G65" s="900">
        <f t="shared" si="17"/>
        <v>0</v>
      </c>
      <c r="H65" s="900">
        <f t="shared" si="17"/>
        <v>0</v>
      </c>
      <c r="I65" s="900">
        <f t="shared" si="17"/>
        <v>0</v>
      </c>
      <c r="J65" s="900">
        <f t="shared" si="17"/>
        <v>0</v>
      </c>
    </row>
    <row r="66" spans="1:10">
      <c r="A66" s="888">
        <f>A65+1</f>
        <v>45</v>
      </c>
      <c r="B66" s="888" t="s">
        <v>526</v>
      </c>
      <c r="C66" s="895">
        <f t="shared" ref="C66:J66" si="18">SUM(C63:C65)</f>
        <v>0</v>
      </c>
      <c r="D66" s="895"/>
      <c r="E66" s="895">
        <f t="shared" si="18"/>
        <v>0</v>
      </c>
      <c r="F66" s="895">
        <f t="shared" si="18"/>
        <v>0</v>
      </c>
      <c r="G66" s="895">
        <f t="shared" si="18"/>
        <v>0</v>
      </c>
      <c r="H66" s="895">
        <f t="shared" si="18"/>
        <v>0</v>
      </c>
      <c r="I66" s="895">
        <f t="shared" si="18"/>
        <v>0</v>
      </c>
      <c r="J66" s="895">
        <f t="shared" si="18"/>
        <v>0</v>
      </c>
    </row>
    <row r="68" spans="1:10">
      <c r="A68" s="888">
        <f>A66+1</f>
        <v>46</v>
      </c>
      <c r="B68" s="468" t="str">
        <f>"LTD Capital Shares (Ln "&amp;A63&amp;" / Ln "&amp;A66&amp;")"</f>
        <v>LTD Capital Shares (Ln 42 / Ln 45)</v>
      </c>
      <c r="C68" s="901" t="e">
        <f t="shared" ref="C68:J68" si="19">C63/C66</f>
        <v>#DIV/0!</v>
      </c>
      <c r="D68" s="901"/>
      <c r="E68" s="901" t="e">
        <f t="shared" si="19"/>
        <v>#DIV/0!</v>
      </c>
      <c r="F68" s="901" t="e">
        <f t="shared" si="19"/>
        <v>#DIV/0!</v>
      </c>
      <c r="G68" s="901" t="e">
        <f t="shared" si="19"/>
        <v>#DIV/0!</v>
      </c>
      <c r="H68" s="901" t="e">
        <f t="shared" si="19"/>
        <v>#DIV/0!</v>
      </c>
      <c r="I68" s="901" t="e">
        <f t="shared" si="19"/>
        <v>#DIV/0!</v>
      </c>
      <c r="J68" s="901" t="e">
        <f t="shared" si="19"/>
        <v>#DIV/0!</v>
      </c>
    </row>
    <row r="69" spans="1:10">
      <c r="A69" s="888">
        <f>A68+1</f>
        <v>47</v>
      </c>
      <c r="B69" s="468" t="str">
        <f>"Preferred Stock Capital Shares (Ln "&amp;A64&amp;" / Ln "&amp;A66&amp;")"</f>
        <v>Preferred Stock Capital Shares (Ln 43 / Ln 45)</v>
      </c>
      <c r="C69" s="901" t="e">
        <f t="shared" ref="C69:J69" si="20">C64/C66</f>
        <v>#DIV/0!</v>
      </c>
      <c r="D69" s="901"/>
      <c r="E69" s="901" t="e">
        <f t="shared" si="20"/>
        <v>#DIV/0!</v>
      </c>
      <c r="F69" s="901" t="e">
        <f t="shared" si="20"/>
        <v>#DIV/0!</v>
      </c>
      <c r="G69" s="901" t="e">
        <f t="shared" si="20"/>
        <v>#DIV/0!</v>
      </c>
      <c r="H69" s="901" t="e">
        <f t="shared" si="20"/>
        <v>#DIV/0!</v>
      </c>
      <c r="I69" s="901" t="e">
        <f t="shared" si="20"/>
        <v>#DIV/0!</v>
      </c>
      <c r="J69" s="901" t="e">
        <f t="shared" si="20"/>
        <v>#DIV/0!</v>
      </c>
    </row>
    <row r="70" spans="1:10">
      <c r="A70" s="902">
        <f>A69+1</f>
        <v>48</v>
      </c>
      <c r="B70" s="468" t="str">
        <f>"Common Equity Capital Shares (Ln "&amp;A65&amp;" / Ln "&amp;A66&amp;")"</f>
        <v>Common Equity Capital Shares (Ln 44 / Ln 45)</v>
      </c>
      <c r="C70" s="903" t="e">
        <f t="shared" ref="C70:J70" si="21">C65/C66</f>
        <v>#DIV/0!</v>
      </c>
      <c r="D70" s="903"/>
      <c r="E70" s="903" t="e">
        <f t="shared" si="21"/>
        <v>#DIV/0!</v>
      </c>
      <c r="F70" s="903" t="e">
        <f t="shared" si="21"/>
        <v>#DIV/0!</v>
      </c>
      <c r="G70" s="903" t="e">
        <f t="shared" si="21"/>
        <v>#DIV/0!</v>
      </c>
      <c r="H70" s="903" t="e">
        <f t="shared" si="21"/>
        <v>#DIV/0!</v>
      </c>
      <c r="I70" s="903" t="e">
        <f t="shared" si="21"/>
        <v>#DIV/0!</v>
      </c>
      <c r="J70" s="903" t="e">
        <f t="shared" si="21"/>
        <v>#DIV/0!</v>
      </c>
    </row>
    <row r="71" spans="1:10">
      <c r="A71" s="902"/>
      <c r="B71" s="468"/>
      <c r="C71" s="903"/>
      <c r="D71" s="903"/>
      <c r="E71" s="903"/>
      <c r="F71" s="903"/>
      <c r="G71" s="903"/>
      <c r="H71" s="903"/>
      <c r="I71" s="903"/>
      <c r="J71" s="903"/>
    </row>
    <row r="72" spans="1:10">
      <c r="A72" s="902">
        <f>A70+1</f>
        <v>49</v>
      </c>
      <c r="B72" s="848" t="s">
        <v>556</v>
      </c>
      <c r="C72" s="904"/>
      <c r="D72" s="904"/>
      <c r="E72" s="904"/>
      <c r="F72" s="904"/>
      <c r="G72" s="904"/>
      <c r="H72" s="904"/>
      <c r="I72" s="904"/>
      <c r="J72" s="904"/>
    </row>
    <row r="73" spans="1:10">
      <c r="A73" s="902"/>
      <c r="B73" s="468"/>
      <c r="C73" s="903"/>
      <c r="D73" s="903"/>
      <c r="E73" s="903"/>
      <c r="F73" s="903"/>
      <c r="G73" s="903"/>
      <c r="H73" s="903"/>
      <c r="I73" s="903"/>
      <c r="J73" s="903"/>
    </row>
    <row r="74" spans="1:10">
      <c r="A74" s="902">
        <f>A72+1</f>
        <v>50</v>
      </c>
      <c r="B74" s="848" t="s">
        <v>556</v>
      </c>
      <c r="C74" s="903"/>
      <c r="D74" s="903"/>
      <c r="E74" s="903"/>
      <c r="F74" s="903"/>
      <c r="G74" s="903"/>
      <c r="H74" s="903"/>
      <c r="I74" s="903"/>
      <c r="J74" s="903"/>
    </row>
    <row r="75" spans="1:10">
      <c r="A75" s="902">
        <f>A74+1</f>
        <v>51</v>
      </c>
      <c r="B75" s="848" t="s">
        <v>556</v>
      </c>
      <c r="C75" s="903"/>
      <c r="D75" s="903"/>
      <c r="E75" s="903"/>
      <c r="F75" s="903"/>
      <c r="G75" s="903"/>
      <c r="H75" s="903"/>
      <c r="I75" s="903"/>
      <c r="J75" s="903"/>
    </row>
    <row r="76" spans="1:10">
      <c r="A76" s="902">
        <f>A75+1</f>
        <v>52</v>
      </c>
      <c r="B76" s="848" t="s">
        <v>556</v>
      </c>
      <c r="C76" s="903"/>
      <c r="D76" s="903"/>
      <c r="E76" s="903"/>
      <c r="F76" s="903"/>
      <c r="G76" s="903"/>
      <c r="H76" s="903"/>
      <c r="I76" s="903"/>
      <c r="J76" s="903"/>
    </row>
    <row r="77" spans="1:10">
      <c r="B77" s="468"/>
      <c r="C77" s="901"/>
      <c r="D77" s="901"/>
      <c r="E77" s="901"/>
      <c r="F77" s="901"/>
      <c r="G77" s="901"/>
      <c r="H77" s="901"/>
      <c r="I77" s="901"/>
      <c r="J77" s="901"/>
    </row>
    <row r="78" spans="1:10" ht="15">
      <c r="A78" s="847" t="s">
        <v>527</v>
      </c>
    </row>
    <row r="79" spans="1:10">
      <c r="A79" s="888">
        <f>A76+1</f>
        <v>53</v>
      </c>
      <c r="B79" s="468" t="str">
        <f>"LTD Capital Cost Rate (Ln "&amp;A25&amp;" / Ln "&amp;A14&amp;")"</f>
        <v>LTD Capital Cost Rate (Ln 14 / Ln 6)</v>
      </c>
      <c r="C79" s="901" t="e">
        <f t="shared" ref="C79:J79" si="22">C25/C14</f>
        <v>#DIV/0!</v>
      </c>
      <c r="D79" s="901"/>
      <c r="E79" s="901" t="e">
        <f t="shared" si="22"/>
        <v>#DIV/0!</v>
      </c>
      <c r="F79" s="901" t="e">
        <f t="shared" si="22"/>
        <v>#DIV/0!</v>
      </c>
      <c r="G79" s="901" t="e">
        <f t="shared" si="22"/>
        <v>#DIV/0!</v>
      </c>
      <c r="H79" s="901" t="e">
        <f t="shared" si="22"/>
        <v>#DIV/0!</v>
      </c>
      <c r="I79" s="901" t="e">
        <f t="shared" si="22"/>
        <v>#DIV/0!</v>
      </c>
      <c r="J79" s="901" t="e">
        <f t="shared" si="22"/>
        <v>#DIV/0!</v>
      </c>
    </row>
    <row r="80" spans="1:10">
      <c r="A80" s="888">
        <f>A79+1</f>
        <v>54</v>
      </c>
      <c r="B80" s="468" t="str">
        <f>"Preferred Stock Capital Cost Rate (Ln "&amp;A53&amp;" / Ln "&amp;A52&amp;")"</f>
        <v>Preferred Stock Capital Cost Rate (Ln 36 / Ln 35)</v>
      </c>
      <c r="C80" s="901">
        <f t="shared" ref="C80:J80" si="23">IF(C52=0,0,C53/C52)</f>
        <v>0</v>
      </c>
      <c r="D80" s="901"/>
      <c r="E80" s="901">
        <f t="shared" si="23"/>
        <v>0</v>
      </c>
      <c r="F80" s="901">
        <f t="shared" si="23"/>
        <v>0</v>
      </c>
      <c r="G80" s="901">
        <f t="shared" si="23"/>
        <v>0</v>
      </c>
      <c r="H80" s="901">
        <f t="shared" si="23"/>
        <v>0</v>
      </c>
      <c r="I80" s="901">
        <f t="shared" si="23"/>
        <v>0</v>
      </c>
      <c r="J80" s="901">
        <f t="shared" si="23"/>
        <v>0</v>
      </c>
    </row>
    <row r="81" spans="1:10">
      <c r="A81" s="888">
        <f>A80+1</f>
        <v>55</v>
      </c>
      <c r="B81" s="468" t="s">
        <v>528</v>
      </c>
      <c r="C81" s="901">
        <v>0.1149</v>
      </c>
      <c r="D81" s="901"/>
      <c r="E81" s="901">
        <v>0.1149</v>
      </c>
      <c r="F81" s="901">
        <v>0.1149</v>
      </c>
      <c r="G81" s="901">
        <v>0.1149</v>
      </c>
      <c r="H81" s="901">
        <v>0.1149</v>
      </c>
      <c r="I81" s="901">
        <v>0.1149</v>
      </c>
      <c r="J81" s="901">
        <v>0.1149</v>
      </c>
    </row>
    <row r="83" spans="1:10" ht="15">
      <c r="A83" s="847" t="s">
        <v>529</v>
      </c>
    </row>
    <row r="84" spans="1:10">
      <c r="A84" s="888">
        <f>A81+1</f>
        <v>56</v>
      </c>
      <c r="B84" s="468" t="str">
        <f>"LTD Weighted Capital Cost Rate (Ln "&amp;A68&amp;" * Ln "&amp;A79&amp;")"</f>
        <v>LTD Weighted Capital Cost Rate (Ln 46 * Ln 53)</v>
      </c>
      <c r="C84" s="901" t="e">
        <f>C68*C79</f>
        <v>#DIV/0!</v>
      </c>
      <c r="D84" s="901"/>
      <c r="E84" s="901" t="e">
        <f t="shared" ref="E84:J84" si="24">E68*E79</f>
        <v>#DIV/0!</v>
      </c>
      <c r="F84" s="901" t="e">
        <f t="shared" si="24"/>
        <v>#DIV/0!</v>
      </c>
      <c r="G84" s="901" t="e">
        <f t="shared" si="24"/>
        <v>#DIV/0!</v>
      </c>
      <c r="H84" s="901" t="e">
        <f t="shared" si="24"/>
        <v>#DIV/0!</v>
      </c>
      <c r="I84" s="901" t="e">
        <f t="shared" si="24"/>
        <v>#DIV/0!</v>
      </c>
      <c r="J84" s="901" t="e">
        <f t="shared" si="24"/>
        <v>#DIV/0!</v>
      </c>
    </row>
    <row r="85" spans="1:10">
      <c r="A85" s="888">
        <f>A84+1</f>
        <v>57</v>
      </c>
      <c r="B85" s="468" t="str">
        <f>"Preferred Stock Capital Cost Rate (Ln "&amp;A69&amp;" * Ln "&amp;A80&amp;")"</f>
        <v>Preferred Stock Capital Cost Rate (Ln 47 * Ln 54)</v>
      </c>
      <c r="C85" s="901" t="e">
        <f>C69*C80</f>
        <v>#DIV/0!</v>
      </c>
      <c r="D85" s="901"/>
      <c r="E85" s="901" t="e">
        <f t="shared" ref="E85:J85" si="25">E69*E80</f>
        <v>#DIV/0!</v>
      </c>
      <c r="F85" s="901" t="e">
        <f t="shared" si="25"/>
        <v>#DIV/0!</v>
      </c>
      <c r="G85" s="901" t="e">
        <f t="shared" si="25"/>
        <v>#DIV/0!</v>
      </c>
      <c r="H85" s="901" t="e">
        <f t="shared" si="25"/>
        <v>#DIV/0!</v>
      </c>
      <c r="I85" s="901" t="e">
        <f t="shared" si="25"/>
        <v>#DIV/0!</v>
      </c>
      <c r="J85" s="901" t="e">
        <f t="shared" si="25"/>
        <v>#DIV/0!</v>
      </c>
    </row>
    <row r="86" spans="1:10">
      <c r="A86" s="888">
        <f>A85+1</f>
        <v>58</v>
      </c>
      <c r="B86" s="468" t="str">
        <f>"Common Equity Capital Cost Rate (Ln "&amp;A70&amp;" * Ln "&amp;A81&amp;")"</f>
        <v>Common Equity Capital Cost Rate (Ln 48 * Ln 55)</v>
      </c>
      <c r="C86" s="905" t="e">
        <f>C70*C81</f>
        <v>#DIV/0!</v>
      </c>
      <c r="D86" s="905"/>
      <c r="E86" s="905" t="e">
        <f t="shared" ref="E86:J86" si="26">E70*E81</f>
        <v>#DIV/0!</v>
      </c>
      <c r="F86" s="905" t="e">
        <f t="shared" si="26"/>
        <v>#DIV/0!</v>
      </c>
      <c r="G86" s="905" t="e">
        <f t="shared" si="26"/>
        <v>#DIV/0!</v>
      </c>
      <c r="H86" s="905" t="e">
        <f t="shared" si="26"/>
        <v>#DIV/0!</v>
      </c>
      <c r="I86" s="905" t="e">
        <f t="shared" si="26"/>
        <v>#DIV/0!</v>
      </c>
      <c r="J86" s="905" t="e">
        <f t="shared" si="26"/>
        <v>#DIV/0!</v>
      </c>
    </row>
    <row r="87" spans="1:10">
      <c r="A87" s="888">
        <f>A86+1</f>
        <v>59</v>
      </c>
      <c r="B87" s="906" t="s">
        <v>526</v>
      </c>
      <c r="C87" s="907" t="e">
        <f t="shared" ref="C87:J87" si="27">SUM(C84:C86)</f>
        <v>#DIV/0!</v>
      </c>
      <c r="D87" s="907"/>
      <c r="E87" s="907" t="e">
        <f t="shared" si="27"/>
        <v>#DIV/0!</v>
      </c>
      <c r="F87" s="907" t="e">
        <f t="shared" si="27"/>
        <v>#DIV/0!</v>
      </c>
      <c r="G87" s="907" t="e">
        <f t="shared" si="27"/>
        <v>#DIV/0!</v>
      </c>
      <c r="H87" s="907" t="e">
        <f t="shared" si="27"/>
        <v>#DIV/0!</v>
      </c>
      <c r="I87" s="907" t="e">
        <f t="shared" si="27"/>
        <v>#DIV/0!</v>
      </c>
      <c r="J87" s="907" t="e">
        <f t="shared" si="27"/>
        <v>#DIV/0!</v>
      </c>
    </row>
    <row r="90" spans="1:10">
      <c r="A90" s="1573" t="s">
        <v>505</v>
      </c>
      <c r="B90" s="1573"/>
      <c r="C90" s="1573"/>
      <c r="D90" s="1573"/>
      <c r="E90" s="1573"/>
      <c r="F90" s="1573"/>
      <c r="G90" s="1573"/>
      <c r="H90" s="1573"/>
      <c r="I90" s="1573"/>
      <c r="J90" s="1573"/>
    </row>
    <row r="91" spans="1:10">
      <c r="A91" s="1573" t="str">
        <f>"Consolidation of Operating Companies' Capital Structure @ December 31, "&amp;TCOS!L4-1&amp;""</f>
        <v>Consolidation of Operating Companies' Capital Structure @ December 31, 2024</v>
      </c>
      <c r="B91" s="1573"/>
      <c r="C91" s="1573"/>
      <c r="D91" s="1573"/>
      <c r="E91" s="1573"/>
      <c r="F91" s="1573"/>
      <c r="G91" s="1573"/>
      <c r="H91" s="1573"/>
      <c r="I91" s="1573"/>
      <c r="J91" s="1573"/>
    </row>
    <row r="92" spans="1:10">
      <c r="A92" s="1573" t="s">
        <v>249</v>
      </c>
      <c r="B92" s="1573"/>
      <c r="C92" s="1573"/>
      <c r="D92" s="1573"/>
      <c r="E92" s="1573"/>
      <c r="F92" s="1573"/>
      <c r="G92" s="1573"/>
      <c r="H92" s="1573"/>
      <c r="I92" s="1573"/>
      <c r="J92" s="1573"/>
    </row>
    <row r="93" spans="1:10">
      <c r="B93" s="899"/>
      <c r="C93" s="902"/>
      <c r="D93" s="902"/>
      <c r="E93" s="902"/>
      <c r="F93" s="902"/>
      <c r="G93" s="902"/>
      <c r="H93" s="902"/>
      <c r="I93" s="902"/>
      <c r="J93" s="902"/>
    </row>
    <row r="94" spans="1:10" ht="76.5">
      <c r="A94" s="888" t="s">
        <v>459</v>
      </c>
      <c r="C94" s="889" t="s">
        <v>506</v>
      </c>
      <c r="D94" s="889"/>
      <c r="E94" s="889" t="s">
        <v>507</v>
      </c>
      <c r="F94" s="889" t="s">
        <v>508</v>
      </c>
      <c r="G94" s="889" t="s">
        <v>509</v>
      </c>
      <c r="H94" s="889" t="s">
        <v>510</v>
      </c>
      <c r="I94" s="889" t="s">
        <v>511</v>
      </c>
      <c r="J94" s="889" t="s">
        <v>512</v>
      </c>
    </row>
    <row r="95" spans="1:10" ht="15">
      <c r="A95" s="847" t="s">
        <v>513</v>
      </c>
    </row>
    <row r="96" spans="1:10">
      <c r="A96" s="888">
        <f>A87+1</f>
        <v>60</v>
      </c>
      <c r="B96" s="851" t="s">
        <v>338</v>
      </c>
      <c r="C96" s="854"/>
      <c r="D96" s="854"/>
      <c r="E96" s="854"/>
      <c r="F96" s="854"/>
      <c r="G96" s="854"/>
      <c r="H96" s="854"/>
      <c r="I96" s="854"/>
      <c r="J96" s="834">
        <f>SUM(C96:I96)</f>
        <v>0</v>
      </c>
    </row>
    <row r="97" spans="1:10">
      <c r="A97" s="888">
        <f>A96+1</f>
        <v>61</v>
      </c>
      <c r="B97" s="851" t="s">
        <v>339</v>
      </c>
      <c r="C97" s="854"/>
      <c r="D97" s="854"/>
      <c r="E97" s="854"/>
      <c r="F97" s="854"/>
      <c r="G97" s="854"/>
      <c r="H97" s="854"/>
      <c r="I97" s="854"/>
      <c r="J97" s="834">
        <f>SUM(C97:I97)</f>
        <v>0</v>
      </c>
    </row>
    <row r="98" spans="1:10">
      <c r="A98" s="888">
        <f>A97+1</f>
        <v>62</v>
      </c>
      <c r="B98" s="852" t="s">
        <v>23</v>
      </c>
      <c r="C98" s="854"/>
      <c r="D98" s="854"/>
      <c r="E98" s="854"/>
      <c r="F98" s="854"/>
      <c r="G98" s="854"/>
      <c r="H98" s="854"/>
      <c r="I98" s="854"/>
      <c r="J98" s="834">
        <f>SUM(C98:I98)</f>
        <v>0</v>
      </c>
    </row>
    <row r="99" spans="1:10">
      <c r="A99" s="888">
        <f>A98+1</f>
        <v>63</v>
      </c>
      <c r="B99" s="852" t="s">
        <v>17</v>
      </c>
      <c r="C99" s="854"/>
      <c r="D99" s="854"/>
      <c r="E99" s="854"/>
      <c r="F99" s="854"/>
      <c r="G99" s="854"/>
      <c r="H99" s="854"/>
      <c r="I99" s="854"/>
      <c r="J99" s="834">
        <f>SUM(C99:I99)</f>
        <v>0</v>
      </c>
    </row>
    <row r="100" spans="1:10">
      <c r="A100" s="888">
        <f>A99+1</f>
        <v>64</v>
      </c>
      <c r="B100" s="852" t="str">
        <f>"Less: Fair Value Hedges (See Note on Ln "&amp;A103&amp;" below)"</f>
        <v>Less: Fair Value Hedges (See Note on Ln 66 below)</v>
      </c>
      <c r="C100" s="147"/>
      <c r="D100" s="147"/>
      <c r="E100" s="147"/>
      <c r="F100" s="147"/>
      <c r="G100" s="147"/>
      <c r="H100" s="147"/>
      <c r="I100" s="147"/>
      <c r="J100" s="890">
        <f>SUM(C100:I100)</f>
        <v>0</v>
      </c>
    </row>
    <row r="101" spans="1:10">
      <c r="A101" s="888">
        <f>A100+1</f>
        <v>65</v>
      </c>
      <c r="B101" s="853" t="s">
        <v>59</v>
      </c>
      <c r="C101" s="891">
        <f t="shared" ref="C101:J101" si="28">C96-C97+C98+C99-C100</f>
        <v>0</v>
      </c>
      <c r="D101" s="891"/>
      <c r="E101" s="891">
        <f t="shared" si="28"/>
        <v>0</v>
      </c>
      <c r="F101" s="891">
        <f t="shared" si="28"/>
        <v>0</v>
      </c>
      <c r="G101" s="891">
        <f t="shared" si="28"/>
        <v>0</v>
      </c>
      <c r="H101" s="891">
        <f t="shared" si="28"/>
        <v>0</v>
      </c>
      <c r="I101" s="891">
        <f t="shared" si="28"/>
        <v>0</v>
      </c>
      <c r="J101" s="891">
        <f t="shared" si="28"/>
        <v>0</v>
      </c>
    </row>
    <row r="103" spans="1:10">
      <c r="A103" s="888">
        <f>A101+1</f>
        <v>66</v>
      </c>
      <c r="B103" s="1572" t="s">
        <v>58</v>
      </c>
      <c r="C103" s="1572"/>
      <c r="D103" s="1572"/>
      <c r="E103" s="1572"/>
      <c r="F103" s="1572"/>
      <c r="G103" s="1572"/>
      <c r="H103" s="1572"/>
      <c r="I103" s="1572"/>
      <c r="J103" s="1572"/>
    </row>
    <row r="104" spans="1:10">
      <c r="B104" s="892"/>
      <c r="C104" s="892"/>
      <c r="D104" s="892"/>
      <c r="E104" s="892"/>
      <c r="F104" s="892"/>
      <c r="G104" s="892"/>
      <c r="H104" s="892"/>
      <c r="I104" s="892"/>
      <c r="J104" s="892"/>
    </row>
    <row r="105" spans="1:10" ht="15">
      <c r="A105" s="847" t="s">
        <v>514</v>
      </c>
    </row>
    <row r="106" spans="1:10">
      <c r="A106" s="888">
        <f>A103+1</f>
        <v>67</v>
      </c>
      <c r="B106" s="851" t="s">
        <v>340</v>
      </c>
      <c r="C106" s="146"/>
      <c r="D106" s="146"/>
      <c r="E106" s="146"/>
      <c r="F106" s="146"/>
      <c r="G106" s="146"/>
      <c r="H106" s="146"/>
      <c r="I106" s="146"/>
      <c r="J106" s="489">
        <f t="shared" ref="J106:J111" si="29">SUM(C106:I106)</f>
        <v>0</v>
      </c>
    </row>
    <row r="107" spans="1:10">
      <c r="A107" s="888">
        <f t="shared" ref="A107:A112" si="30">A106+1</f>
        <v>68</v>
      </c>
      <c r="B107" s="851" t="s">
        <v>333</v>
      </c>
      <c r="C107" s="146"/>
      <c r="D107" s="146"/>
      <c r="E107" s="146"/>
      <c r="F107" s="146"/>
      <c r="G107" s="146"/>
      <c r="H107" s="146"/>
      <c r="I107" s="146"/>
      <c r="J107" s="489">
        <f t="shared" si="29"/>
        <v>0</v>
      </c>
    </row>
    <row r="108" spans="1:10">
      <c r="A108" s="888">
        <f t="shared" si="30"/>
        <v>69</v>
      </c>
      <c r="B108" s="851" t="s">
        <v>334</v>
      </c>
      <c r="C108" s="146"/>
      <c r="D108" s="146"/>
      <c r="E108" s="146"/>
      <c r="F108" s="146"/>
      <c r="G108" s="146"/>
      <c r="H108" s="146"/>
      <c r="I108" s="146"/>
      <c r="J108" s="489">
        <f t="shared" si="29"/>
        <v>0</v>
      </c>
    </row>
    <row r="109" spans="1:10">
      <c r="A109" s="888">
        <f t="shared" si="30"/>
        <v>70</v>
      </c>
      <c r="B109" s="851" t="s">
        <v>335</v>
      </c>
      <c r="C109" s="854"/>
      <c r="D109" s="854"/>
      <c r="E109" s="854"/>
      <c r="F109" s="854"/>
      <c r="G109" s="854"/>
      <c r="H109" s="854"/>
      <c r="I109" s="854"/>
      <c r="J109" s="834">
        <f t="shared" si="29"/>
        <v>0</v>
      </c>
    </row>
    <row r="110" spans="1:10">
      <c r="A110" s="888">
        <f t="shared" si="30"/>
        <v>71</v>
      </c>
      <c r="B110" s="851" t="s">
        <v>336</v>
      </c>
      <c r="C110" s="854"/>
      <c r="D110" s="854"/>
      <c r="E110" s="854"/>
      <c r="F110" s="854"/>
      <c r="G110" s="854"/>
      <c r="H110" s="854"/>
      <c r="I110" s="854"/>
      <c r="J110" s="834">
        <f t="shared" si="29"/>
        <v>0</v>
      </c>
    </row>
    <row r="111" spans="1:10">
      <c r="A111" s="888">
        <f t="shared" si="30"/>
        <v>72</v>
      </c>
      <c r="B111" s="893" t="s">
        <v>515</v>
      </c>
      <c r="C111" s="147"/>
      <c r="D111" s="147"/>
      <c r="E111" s="147"/>
      <c r="F111" s="147"/>
      <c r="G111" s="147"/>
      <c r="H111" s="147"/>
      <c r="I111" s="147"/>
      <c r="J111" s="890">
        <f t="shared" si="29"/>
        <v>0</v>
      </c>
    </row>
    <row r="112" spans="1:10">
      <c r="A112" s="888">
        <f t="shared" si="30"/>
        <v>73</v>
      </c>
      <c r="B112" s="894" t="s">
        <v>60</v>
      </c>
      <c r="C112" s="895">
        <f t="shared" ref="C112:J112" si="31">C106+C107+C108-C109-C110-C111</f>
        <v>0</v>
      </c>
      <c r="D112" s="895"/>
      <c r="E112" s="895">
        <f t="shared" si="31"/>
        <v>0</v>
      </c>
      <c r="F112" s="895">
        <f t="shared" si="31"/>
        <v>0</v>
      </c>
      <c r="G112" s="895">
        <f t="shared" si="31"/>
        <v>0</v>
      </c>
      <c r="H112" s="895">
        <f t="shared" si="31"/>
        <v>0</v>
      </c>
      <c r="I112" s="895">
        <f t="shared" si="31"/>
        <v>0</v>
      </c>
      <c r="J112" s="895">
        <f t="shared" si="31"/>
        <v>0</v>
      </c>
    </row>
    <row r="114" spans="1:10" ht="15">
      <c r="A114" s="847" t="s">
        <v>516</v>
      </c>
      <c r="B114" s="896"/>
      <c r="C114" s="896"/>
      <c r="D114" s="896"/>
      <c r="E114" s="896"/>
    </row>
    <row r="115" spans="1:10">
      <c r="A115" s="888">
        <f>A112+1</f>
        <v>74</v>
      </c>
      <c r="B115" s="850" t="s">
        <v>517</v>
      </c>
      <c r="C115" s="855"/>
      <c r="D115" s="917"/>
      <c r="E115" s="918"/>
      <c r="F115" s="917"/>
      <c r="G115" s="917"/>
      <c r="H115" s="855"/>
      <c r="I115" s="917"/>
      <c r="J115" s="897"/>
    </row>
    <row r="116" spans="1:10">
      <c r="A116" s="888">
        <f>A115+1</f>
        <v>75</v>
      </c>
      <c r="B116" s="850" t="s">
        <v>518</v>
      </c>
      <c r="C116" s="856"/>
      <c r="D116" s="919"/>
      <c r="E116" s="856"/>
      <c r="F116" s="919"/>
      <c r="G116" s="919"/>
      <c r="H116" s="856"/>
      <c r="I116" s="919"/>
      <c r="J116" s="898"/>
    </row>
    <row r="117" spans="1:10">
      <c r="A117" s="888">
        <f>A116+1</f>
        <v>76</v>
      </c>
      <c r="B117" s="850" t="s">
        <v>519</v>
      </c>
      <c r="C117" s="146"/>
      <c r="D117" s="920"/>
      <c r="E117" s="146"/>
      <c r="F117" s="920"/>
      <c r="G117" s="920"/>
      <c r="H117" s="146"/>
      <c r="I117" s="920"/>
    </row>
    <row r="118" spans="1:10">
      <c r="A118" s="888">
        <f>A117+1</f>
        <v>77</v>
      </c>
      <c r="B118" s="850" t="str">
        <f>"Monetary Value (Ln "&amp;A116&amp;" * Ln "&amp;A117&amp;")"</f>
        <v>Monetary Value (Ln 75 * Ln 76)</v>
      </c>
      <c r="C118" s="488">
        <f t="shared" ref="C118:I118" si="32">C116*C117</f>
        <v>0</v>
      </c>
      <c r="D118" s="488"/>
      <c r="E118" s="488">
        <f t="shared" si="32"/>
        <v>0</v>
      </c>
      <c r="F118" s="488">
        <f t="shared" si="32"/>
        <v>0</v>
      </c>
      <c r="G118" s="488">
        <f t="shared" si="32"/>
        <v>0</v>
      </c>
      <c r="H118" s="488">
        <f t="shared" si="32"/>
        <v>0</v>
      </c>
      <c r="I118" s="488">
        <f t="shared" si="32"/>
        <v>0</v>
      </c>
      <c r="J118" s="895">
        <f>SUM(C118:I118)</f>
        <v>0</v>
      </c>
    </row>
    <row r="119" spans="1:10">
      <c r="A119" s="888">
        <f>A118+1</f>
        <v>78</v>
      </c>
      <c r="B119" s="850" t="str">
        <f>"Dividend Amount (Ln "&amp;A115&amp;" * Ln "&amp;A118&amp;")"</f>
        <v>Dividend Amount (Ln 74 * Ln 77)</v>
      </c>
      <c r="C119" s="488">
        <f t="shared" ref="C119:I119" si="33">C118*C115</f>
        <v>0</v>
      </c>
      <c r="D119" s="488"/>
      <c r="E119" s="488">
        <f t="shared" si="33"/>
        <v>0</v>
      </c>
      <c r="F119" s="488">
        <f t="shared" si="33"/>
        <v>0</v>
      </c>
      <c r="G119" s="488">
        <f t="shared" si="33"/>
        <v>0</v>
      </c>
      <c r="H119" s="488">
        <f t="shared" si="33"/>
        <v>0</v>
      </c>
      <c r="I119" s="488">
        <f t="shared" si="33"/>
        <v>0</v>
      </c>
      <c r="J119" s="895">
        <f>SUM(C119:I119)</f>
        <v>0</v>
      </c>
    </row>
    <row r="121" spans="1:10">
      <c r="A121" s="888">
        <f>A119+1</f>
        <v>79</v>
      </c>
      <c r="B121" s="850" t="s">
        <v>517</v>
      </c>
      <c r="C121" s="855"/>
      <c r="D121" s="917"/>
      <c r="E121" s="918"/>
      <c r="F121" s="917"/>
      <c r="G121" s="917"/>
      <c r="H121" s="855"/>
      <c r="I121" s="917"/>
    </row>
    <row r="122" spans="1:10">
      <c r="A122" s="888">
        <f>A121+1</f>
        <v>80</v>
      </c>
      <c r="B122" s="850" t="s">
        <v>518</v>
      </c>
      <c r="C122" s="856"/>
      <c r="D122" s="919"/>
      <c r="E122" s="856"/>
      <c r="F122" s="919"/>
      <c r="G122" s="919"/>
      <c r="H122" s="856"/>
      <c r="I122" s="919"/>
    </row>
    <row r="123" spans="1:10">
      <c r="A123" s="888">
        <f>A122+1</f>
        <v>81</v>
      </c>
      <c r="B123" s="850" t="s">
        <v>519</v>
      </c>
      <c r="C123" s="146"/>
      <c r="D123" s="920"/>
      <c r="E123" s="146"/>
      <c r="F123" s="920"/>
      <c r="G123" s="920"/>
      <c r="H123" s="146"/>
      <c r="I123" s="920"/>
    </row>
    <row r="124" spans="1:10">
      <c r="A124" s="888">
        <f>A123+1</f>
        <v>82</v>
      </c>
      <c r="B124" s="850" t="str">
        <f>"Monetary Value (Ln "&amp;A122&amp;" * Ln "&amp;A123&amp;")"</f>
        <v>Monetary Value (Ln 80 * Ln 81)</v>
      </c>
      <c r="C124" s="488">
        <f t="shared" ref="C124:I124" si="34">C122*C123</f>
        <v>0</v>
      </c>
      <c r="D124" s="488"/>
      <c r="E124" s="488">
        <f t="shared" si="34"/>
        <v>0</v>
      </c>
      <c r="F124" s="488">
        <f t="shared" si="34"/>
        <v>0</v>
      </c>
      <c r="G124" s="488">
        <f t="shared" si="34"/>
        <v>0</v>
      </c>
      <c r="H124" s="488">
        <f t="shared" si="34"/>
        <v>0</v>
      </c>
      <c r="I124" s="488">
        <f t="shared" si="34"/>
        <v>0</v>
      </c>
      <c r="J124" s="895">
        <f>SUM(C124:I124)</f>
        <v>0</v>
      </c>
    </row>
    <row r="125" spans="1:10">
      <c r="A125" s="888">
        <f>A124+1</f>
        <v>83</v>
      </c>
      <c r="B125" s="850" t="str">
        <f>"Dividend Amount (Ln "&amp;A121&amp;" * Ln "&amp;A124&amp;")"</f>
        <v>Dividend Amount (Ln 79 * Ln 82)</v>
      </c>
      <c r="C125" s="488">
        <f t="shared" ref="C125:I125" si="35">C124*C121</f>
        <v>0</v>
      </c>
      <c r="D125" s="488"/>
      <c r="E125" s="488">
        <f t="shared" si="35"/>
        <v>0</v>
      </c>
      <c r="F125" s="488">
        <f t="shared" si="35"/>
        <v>0</v>
      </c>
      <c r="G125" s="488">
        <f t="shared" si="35"/>
        <v>0</v>
      </c>
      <c r="H125" s="488">
        <f t="shared" si="35"/>
        <v>0</v>
      </c>
      <c r="I125" s="488">
        <f t="shared" si="35"/>
        <v>0</v>
      </c>
      <c r="J125" s="895">
        <f>SUM(C125:I125)</f>
        <v>0</v>
      </c>
    </row>
    <row r="127" spans="1:10">
      <c r="A127" s="888">
        <f>A125+1</f>
        <v>84</v>
      </c>
      <c r="B127" s="850" t="s">
        <v>517</v>
      </c>
      <c r="C127" s="855"/>
      <c r="D127" s="917"/>
      <c r="E127" s="918"/>
      <c r="F127" s="917"/>
      <c r="G127" s="917"/>
      <c r="H127" s="855"/>
      <c r="I127" s="917"/>
    </row>
    <row r="128" spans="1:10">
      <c r="A128" s="888">
        <f>A127+1</f>
        <v>85</v>
      </c>
      <c r="B128" s="850" t="s">
        <v>518</v>
      </c>
      <c r="C128" s="856"/>
      <c r="D128" s="919"/>
      <c r="E128" s="856"/>
      <c r="F128" s="919"/>
      <c r="G128" s="919"/>
      <c r="H128" s="856"/>
      <c r="I128" s="919"/>
    </row>
    <row r="129" spans="1:10">
      <c r="A129" s="888">
        <f>A128+1</f>
        <v>86</v>
      </c>
      <c r="B129" s="850" t="s">
        <v>519</v>
      </c>
      <c r="C129" s="146"/>
      <c r="D129" s="920"/>
      <c r="E129" s="146"/>
      <c r="F129" s="920"/>
      <c r="G129" s="920"/>
      <c r="H129" s="146"/>
      <c r="I129" s="920"/>
    </row>
    <row r="130" spans="1:10">
      <c r="A130" s="888">
        <f>A129+1</f>
        <v>87</v>
      </c>
      <c r="B130" s="850" t="str">
        <f>"Monetary Value (Ln "&amp;A128&amp;" * Ln "&amp;A129&amp;")"</f>
        <v>Monetary Value (Ln 85 * Ln 86)</v>
      </c>
      <c r="C130" s="488">
        <f t="shared" ref="C130:I130" si="36">C128*C129</f>
        <v>0</v>
      </c>
      <c r="D130" s="488"/>
      <c r="E130" s="488">
        <f t="shared" si="36"/>
        <v>0</v>
      </c>
      <c r="F130" s="488">
        <f t="shared" si="36"/>
        <v>0</v>
      </c>
      <c r="G130" s="488">
        <f t="shared" si="36"/>
        <v>0</v>
      </c>
      <c r="H130" s="488">
        <f t="shared" si="36"/>
        <v>0</v>
      </c>
      <c r="I130" s="488">
        <f t="shared" si="36"/>
        <v>0</v>
      </c>
      <c r="J130" s="895">
        <f>SUM(C130:I130)</f>
        <v>0</v>
      </c>
    </row>
    <row r="131" spans="1:10">
      <c r="A131" s="888">
        <f>A130+1</f>
        <v>88</v>
      </c>
      <c r="B131" s="850" t="str">
        <f>"Dividend Amount (Ln "&amp;A127&amp;" * Ln "&amp;A130&amp;")"</f>
        <v>Dividend Amount (Ln 84 * Ln 87)</v>
      </c>
      <c r="C131" s="488">
        <f t="shared" ref="C131:I131" si="37">C130*C127</f>
        <v>0</v>
      </c>
      <c r="D131" s="488"/>
      <c r="E131" s="488">
        <f t="shared" si="37"/>
        <v>0</v>
      </c>
      <c r="F131" s="488">
        <f t="shared" si="37"/>
        <v>0</v>
      </c>
      <c r="G131" s="488">
        <f t="shared" si="37"/>
        <v>0</v>
      </c>
      <c r="H131" s="488">
        <f t="shared" si="37"/>
        <v>0</v>
      </c>
      <c r="I131" s="488">
        <f t="shared" si="37"/>
        <v>0</v>
      </c>
      <c r="J131" s="895">
        <f>SUM(C131:I131)</f>
        <v>0</v>
      </c>
    </row>
    <row r="133" spans="1:10">
      <c r="A133" s="888">
        <f>A131+1</f>
        <v>89</v>
      </c>
      <c r="B133" s="850" t="s">
        <v>517</v>
      </c>
      <c r="C133" s="855"/>
      <c r="D133" s="917"/>
      <c r="E133" s="918"/>
      <c r="F133" s="917"/>
      <c r="G133" s="917"/>
      <c r="H133" s="855"/>
      <c r="I133" s="917"/>
    </row>
    <row r="134" spans="1:10">
      <c r="A134" s="888">
        <f>A133+1</f>
        <v>90</v>
      </c>
      <c r="B134" s="850" t="s">
        <v>518</v>
      </c>
      <c r="C134" s="856"/>
      <c r="D134" s="919"/>
      <c r="E134" s="856"/>
      <c r="F134" s="919"/>
      <c r="G134" s="919"/>
      <c r="H134" s="856"/>
      <c r="I134" s="919"/>
    </row>
    <row r="135" spans="1:10">
      <c r="A135" s="888">
        <f>A134+1</f>
        <v>91</v>
      </c>
      <c r="B135" s="850" t="s">
        <v>519</v>
      </c>
      <c r="C135" s="146"/>
      <c r="D135" s="920"/>
      <c r="E135" s="146"/>
      <c r="F135" s="920"/>
      <c r="G135" s="920"/>
      <c r="H135" s="146"/>
      <c r="I135" s="920"/>
    </row>
    <row r="136" spans="1:10">
      <c r="A136" s="888">
        <f>A135+1</f>
        <v>92</v>
      </c>
      <c r="B136" s="850" t="str">
        <f>"Monetary Value (Ln "&amp;A134&amp;" * Ln "&amp;A135&amp;")"</f>
        <v>Monetary Value (Ln 90 * Ln 91)</v>
      </c>
      <c r="C136" s="488">
        <f t="shared" ref="C136:I136" si="38">C134*C135</f>
        <v>0</v>
      </c>
      <c r="D136" s="488"/>
      <c r="E136" s="488">
        <f t="shared" si="38"/>
        <v>0</v>
      </c>
      <c r="F136" s="488">
        <f t="shared" si="38"/>
        <v>0</v>
      </c>
      <c r="G136" s="488">
        <f t="shared" si="38"/>
        <v>0</v>
      </c>
      <c r="H136" s="488">
        <f t="shared" si="38"/>
        <v>0</v>
      </c>
      <c r="I136" s="488">
        <f t="shared" si="38"/>
        <v>0</v>
      </c>
      <c r="J136" s="895">
        <f>SUM(C136:I136)</f>
        <v>0</v>
      </c>
    </row>
    <row r="137" spans="1:10">
      <c r="A137" s="888">
        <f>A136+1</f>
        <v>93</v>
      </c>
      <c r="B137" s="850" t="str">
        <f>"Dividend Amount (Ln "&amp;A133&amp;" * Ln "&amp;A136&amp;")"</f>
        <v>Dividend Amount (Ln 89 * Ln 92)</v>
      </c>
      <c r="C137" s="488">
        <f t="shared" ref="C137:I137" si="39">C136*C133</f>
        <v>0</v>
      </c>
      <c r="D137" s="488"/>
      <c r="E137" s="488">
        <f t="shared" si="39"/>
        <v>0</v>
      </c>
      <c r="F137" s="488">
        <f t="shared" si="39"/>
        <v>0</v>
      </c>
      <c r="G137" s="488">
        <f t="shared" si="39"/>
        <v>0</v>
      </c>
      <c r="H137" s="488">
        <f t="shared" si="39"/>
        <v>0</v>
      </c>
      <c r="I137" s="488">
        <f t="shared" si="39"/>
        <v>0</v>
      </c>
      <c r="J137" s="895">
        <f>SUM(C137:I137)</f>
        <v>0</v>
      </c>
    </row>
    <row r="138" spans="1:10">
      <c r="B138" s="850"/>
    </row>
    <row r="139" spans="1:10">
      <c r="A139" s="888">
        <f>A137+1</f>
        <v>94</v>
      </c>
      <c r="B139" s="848" t="str">
        <f>"Preferred Stock (Lns "&amp;A118&amp;", "&amp;A124&amp;", "&amp;A130&amp;","&amp;A136&amp;")"</f>
        <v>Preferred Stock (Lns 77, 82, 87,92)</v>
      </c>
      <c r="C139" s="895">
        <f t="shared" ref="C139:I140" si="40">C118+C124+C130+C136</f>
        <v>0</v>
      </c>
      <c r="D139" s="895"/>
      <c r="E139" s="895">
        <f t="shared" si="40"/>
        <v>0</v>
      </c>
      <c r="F139" s="895">
        <f t="shared" si="40"/>
        <v>0</v>
      </c>
      <c r="G139" s="895">
        <f t="shared" si="40"/>
        <v>0</v>
      </c>
      <c r="H139" s="895">
        <f t="shared" si="40"/>
        <v>0</v>
      </c>
      <c r="I139" s="895">
        <f t="shared" si="40"/>
        <v>0</v>
      </c>
      <c r="J139" s="895">
        <f>SUM(C139:I139)</f>
        <v>0</v>
      </c>
    </row>
    <row r="140" spans="1:10">
      <c r="A140" s="888">
        <f>A139+1</f>
        <v>95</v>
      </c>
      <c r="B140" s="848" t="str">
        <f>"Preferred Dividends (Lns "&amp;A119&amp;", "&amp;A125&amp;", "&amp;A131&amp;","&amp;A137&amp;")"</f>
        <v>Preferred Dividends (Lns 78, 83, 88,93)</v>
      </c>
      <c r="C140" s="895">
        <f t="shared" si="40"/>
        <v>0</v>
      </c>
      <c r="D140" s="895"/>
      <c r="E140" s="895">
        <f t="shared" si="40"/>
        <v>0</v>
      </c>
      <c r="F140" s="895">
        <f t="shared" si="40"/>
        <v>0</v>
      </c>
      <c r="G140" s="895">
        <f t="shared" si="40"/>
        <v>0</v>
      </c>
      <c r="H140" s="895">
        <f t="shared" si="40"/>
        <v>0</v>
      </c>
      <c r="I140" s="895">
        <f t="shared" si="40"/>
        <v>0</v>
      </c>
      <c r="J140" s="895">
        <f>SUM(C140:I140)</f>
        <v>0</v>
      </c>
    </row>
    <row r="141" spans="1:10">
      <c r="B141" s="899"/>
    </row>
    <row r="142" spans="1:10" ht="15">
      <c r="A142" s="847" t="s">
        <v>520</v>
      </c>
    </row>
    <row r="143" spans="1:10">
      <c r="A143" s="888">
        <f>A140+1</f>
        <v>96</v>
      </c>
      <c r="B143" s="666" t="s">
        <v>521</v>
      </c>
      <c r="C143" s="146"/>
      <c r="D143" s="146"/>
      <c r="E143" s="146"/>
      <c r="F143" s="146"/>
      <c r="G143" s="146"/>
      <c r="H143" s="146"/>
      <c r="I143" s="146"/>
      <c r="J143" s="895">
        <f>SUM(C143:I143)</f>
        <v>0</v>
      </c>
    </row>
    <row r="144" spans="1:10">
      <c r="A144" s="888">
        <f>A143+1</f>
        <v>97</v>
      </c>
      <c r="B144" s="666" t="str">
        <f>"Less: Preferred Stock (Ln "&amp;A139&amp;" Above)"</f>
        <v>Less: Preferred Stock (Ln 94 Above)</v>
      </c>
      <c r="C144" s="489">
        <f>C139</f>
        <v>0</v>
      </c>
      <c r="D144" s="489"/>
      <c r="E144" s="489">
        <f>E139</f>
        <v>0</v>
      </c>
      <c r="F144" s="489">
        <f>F139</f>
        <v>0</v>
      </c>
      <c r="G144" s="489">
        <f>G139</f>
        <v>0</v>
      </c>
      <c r="H144" s="489">
        <f>H139</f>
        <v>0</v>
      </c>
      <c r="I144" s="489">
        <f>I139</f>
        <v>0</v>
      </c>
      <c r="J144" s="895">
        <f>SUM(C144:I144)</f>
        <v>0</v>
      </c>
    </row>
    <row r="145" spans="1:10">
      <c r="A145" s="888">
        <f>A144+1</f>
        <v>98</v>
      </c>
      <c r="B145" s="666" t="s">
        <v>522</v>
      </c>
      <c r="C145" s="854"/>
      <c r="D145" s="854"/>
      <c r="E145" s="854"/>
      <c r="F145" s="854"/>
      <c r="G145" s="854"/>
      <c r="H145" s="854"/>
      <c r="I145" s="854"/>
      <c r="J145" s="895">
        <f>SUM(C145:I145)</f>
        <v>0</v>
      </c>
    </row>
    <row r="146" spans="1:10">
      <c r="A146" s="888">
        <f>A145+1</f>
        <v>99</v>
      </c>
      <c r="B146" s="666" t="s">
        <v>523</v>
      </c>
      <c r="C146" s="147"/>
      <c r="D146" s="147"/>
      <c r="E146" s="147"/>
      <c r="F146" s="147"/>
      <c r="G146" s="147"/>
      <c r="H146" s="147"/>
      <c r="I146" s="147"/>
      <c r="J146" s="900">
        <f>SUM(C146:I146)</f>
        <v>0</v>
      </c>
    </row>
    <row r="147" spans="1:10">
      <c r="A147" s="888">
        <f>A146+1</f>
        <v>100</v>
      </c>
      <c r="B147" s="849" t="s">
        <v>524</v>
      </c>
      <c r="C147" s="834">
        <f t="shared" ref="C147:J147" si="41">C143-C144-C145-C146</f>
        <v>0</v>
      </c>
      <c r="D147" s="834"/>
      <c r="E147" s="834">
        <f t="shared" si="41"/>
        <v>0</v>
      </c>
      <c r="F147" s="834">
        <f t="shared" si="41"/>
        <v>0</v>
      </c>
      <c r="G147" s="834">
        <f t="shared" si="41"/>
        <v>0</v>
      </c>
      <c r="H147" s="834">
        <f t="shared" si="41"/>
        <v>0</v>
      </c>
      <c r="I147" s="834">
        <f t="shared" si="41"/>
        <v>0</v>
      </c>
      <c r="J147" s="834">
        <f t="shared" si="41"/>
        <v>0</v>
      </c>
    </row>
    <row r="149" spans="1:10" ht="15">
      <c r="A149" s="847" t="s">
        <v>525</v>
      </c>
    </row>
    <row r="150" spans="1:10">
      <c r="A150" s="888">
        <f>A147+1</f>
        <v>101</v>
      </c>
      <c r="B150" s="468" t="str">
        <f>"Long Term Debt (Ln "&amp;A101&amp;" Above)"</f>
        <v>Long Term Debt (Ln 65 Above)</v>
      </c>
      <c r="C150" s="895">
        <f t="shared" ref="C150:J150" si="42">C101</f>
        <v>0</v>
      </c>
      <c r="D150" s="895"/>
      <c r="E150" s="895">
        <f t="shared" si="42"/>
        <v>0</v>
      </c>
      <c r="F150" s="895">
        <f t="shared" si="42"/>
        <v>0</v>
      </c>
      <c r="G150" s="895">
        <f t="shared" si="42"/>
        <v>0</v>
      </c>
      <c r="H150" s="895">
        <f t="shared" si="42"/>
        <v>0</v>
      </c>
      <c r="I150" s="895">
        <f t="shared" si="42"/>
        <v>0</v>
      </c>
      <c r="J150" s="895">
        <f t="shared" si="42"/>
        <v>0</v>
      </c>
    </row>
    <row r="151" spans="1:10">
      <c r="A151" s="888">
        <f>A150+1</f>
        <v>102</v>
      </c>
      <c r="B151" s="468" t="str">
        <f>"Preferred Stock (Ln "&amp;A139&amp;" Above)"</f>
        <v>Preferred Stock (Ln 94 Above)</v>
      </c>
      <c r="C151" s="895">
        <f t="shared" ref="C151:J151" si="43">C139</f>
        <v>0</v>
      </c>
      <c r="D151" s="895"/>
      <c r="E151" s="895">
        <f t="shared" si="43"/>
        <v>0</v>
      </c>
      <c r="F151" s="895">
        <f t="shared" si="43"/>
        <v>0</v>
      </c>
      <c r="G151" s="895">
        <f t="shared" si="43"/>
        <v>0</v>
      </c>
      <c r="H151" s="895">
        <f t="shared" si="43"/>
        <v>0</v>
      </c>
      <c r="I151" s="895">
        <f t="shared" si="43"/>
        <v>0</v>
      </c>
      <c r="J151" s="895">
        <f t="shared" si="43"/>
        <v>0</v>
      </c>
    </row>
    <row r="152" spans="1:10">
      <c r="A152" s="888">
        <f>A151+1</f>
        <v>103</v>
      </c>
      <c r="B152" s="468" t="str">
        <f>"Common Equity (Ln "&amp;A147&amp;" Above)"</f>
        <v>Common Equity (Ln 100 Above)</v>
      </c>
      <c r="C152" s="900">
        <f t="shared" ref="C152:J152" si="44">C147</f>
        <v>0</v>
      </c>
      <c r="D152" s="900"/>
      <c r="E152" s="900">
        <f t="shared" si="44"/>
        <v>0</v>
      </c>
      <c r="F152" s="900">
        <f t="shared" si="44"/>
        <v>0</v>
      </c>
      <c r="G152" s="900">
        <f t="shared" si="44"/>
        <v>0</v>
      </c>
      <c r="H152" s="900">
        <f t="shared" si="44"/>
        <v>0</v>
      </c>
      <c r="I152" s="900">
        <f t="shared" si="44"/>
        <v>0</v>
      </c>
      <c r="J152" s="900">
        <f t="shared" si="44"/>
        <v>0</v>
      </c>
    </row>
    <row r="153" spans="1:10">
      <c r="A153" s="888">
        <f>A152+1</f>
        <v>104</v>
      </c>
      <c r="B153" s="888" t="s">
        <v>526</v>
      </c>
      <c r="C153" s="895">
        <f t="shared" ref="C153:J153" si="45">SUM(C150:C152)</f>
        <v>0</v>
      </c>
      <c r="D153" s="895"/>
      <c r="E153" s="895">
        <f t="shared" si="45"/>
        <v>0</v>
      </c>
      <c r="F153" s="895">
        <f t="shared" si="45"/>
        <v>0</v>
      </c>
      <c r="G153" s="895">
        <f t="shared" si="45"/>
        <v>0</v>
      </c>
      <c r="H153" s="895">
        <f t="shared" si="45"/>
        <v>0</v>
      </c>
      <c r="I153" s="895">
        <f t="shared" si="45"/>
        <v>0</v>
      </c>
      <c r="J153" s="895">
        <f t="shared" si="45"/>
        <v>0</v>
      </c>
    </row>
    <row r="155" spans="1:10">
      <c r="A155" s="888">
        <f>A153+1</f>
        <v>105</v>
      </c>
      <c r="B155" s="468" t="str">
        <f>"LTD Capital Shares (Ln "&amp;A150&amp;" / Ln "&amp;A153&amp;")"</f>
        <v>LTD Capital Shares (Ln 101 / Ln 104)</v>
      </c>
      <c r="C155" s="901" t="e">
        <f t="shared" ref="C155:J155" si="46">C150/C153</f>
        <v>#DIV/0!</v>
      </c>
      <c r="D155" s="901"/>
      <c r="E155" s="901" t="e">
        <f t="shared" si="46"/>
        <v>#DIV/0!</v>
      </c>
      <c r="F155" s="901" t="e">
        <f t="shared" si="46"/>
        <v>#DIV/0!</v>
      </c>
      <c r="G155" s="901" t="e">
        <f t="shared" si="46"/>
        <v>#DIV/0!</v>
      </c>
      <c r="H155" s="901" t="e">
        <f t="shared" si="46"/>
        <v>#DIV/0!</v>
      </c>
      <c r="I155" s="901" t="e">
        <f t="shared" si="46"/>
        <v>#DIV/0!</v>
      </c>
      <c r="J155" s="901" t="e">
        <f t="shared" si="46"/>
        <v>#DIV/0!</v>
      </c>
    </row>
    <row r="156" spans="1:10">
      <c r="A156" s="888">
        <f>A155+1</f>
        <v>106</v>
      </c>
      <c r="B156" s="468" t="str">
        <f>"Preferred Stock Capital Shares (Ln "&amp;A151&amp;" / Ln "&amp;A153&amp;")"</f>
        <v>Preferred Stock Capital Shares (Ln 102 / Ln 104)</v>
      </c>
      <c r="C156" s="901" t="e">
        <f t="shared" ref="C156:J156" si="47">C151/C153</f>
        <v>#DIV/0!</v>
      </c>
      <c r="D156" s="901"/>
      <c r="E156" s="901" t="e">
        <f t="shared" si="47"/>
        <v>#DIV/0!</v>
      </c>
      <c r="F156" s="901" t="e">
        <f t="shared" si="47"/>
        <v>#DIV/0!</v>
      </c>
      <c r="G156" s="901" t="e">
        <f t="shared" si="47"/>
        <v>#DIV/0!</v>
      </c>
      <c r="H156" s="901" t="e">
        <f t="shared" si="47"/>
        <v>#DIV/0!</v>
      </c>
      <c r="I156" s="901" t="e">
        <f t="shared" si="47"/>
        <v>#DIV/0!</v>
      </c>
      <c r="J156" s="901" t="e">
        <f t="shared" si="47"/>
        <v>#DIV/0!</v>
      </c>
    </row>
    <row r="157" spans="1:10">
      <c r="A157" s="902">
        <f>A156+1</f>
        <v>107</v>
      </c>
      <c r="B157" s="468" t="str">
        <f>"Common Equity Capital Shares (Ln "&amp;A152&amp;" / Ln "&amp;A153&amp;")"</f>
        <v>Common Equity Capital Shares (Ln 103 / Ln 104)</v>
      </c>
      <c r="C157" s="903" t="e">
        <f t="shared" ref="C157:J157" si="48">C152/C153</f>
        <v>#DIV/0!</v>
      </c>
      <c r="D157" s="903"/>
      <c r="E157" s="903" t="e">
        <f t="shared" si="48"/>
        <v>#DIV/0!</v>
      </c>
      <c r="F157" s="903" t="e">
        <f t="shared" si="48"/>
        <v>#DIV/0!</v>
      </c>
      <c r="G157" s="903" t="e">
        <f t="shared" si="48"/>
        <v>#DIV/0!</v>
      </c>
      <c r="H157" s="903" t="e">
        <f t="shared" si="48"/>
        <v>#DIV/0!</v>
      </c>
      <c r="I157" s="903" t="e">
        <f t="shared" si="48"/>
        <v>#DIV/0!</v>
      </c>
      <c r="J157" s="903" t="e">
        <f t="shared" si="48"/>
        <v>#DIV/0!</v>
      </c>
    </row>
    <row r="158" spans="1:10">
      <c r="A158" s="902"/>
      <c r="B158" s="468"/>
      <c r="C158" s="903"/>
      <c r="D158" s="903"/>
      <c r="E158" s="903"/>
      <c r="F158" s="903"/>
      <c r="G158" s="903"/>
      <c r="H158" s="903"/>
      <c r="I158" s="903"/>
      <c r="J158" s="903"/>
    </row>
    <row r="159" spans="1:10">
      <c r="A159" s="902">
        <f>A157+1</f>
        <v>108</v>
      </c>
      <c r="B159" s="848" t="s">
        <v>556</v>
      </c>
      <c r="C159" s="904"/>
      <c r="D159" s="904"/>
      <c r="E159" s="904"/>
      <c r="F159" s="904"/>
      <c r="G159" s="904"/>
      <c r="H159" s="904"/>
      <c r="I159" s="904"/>
      <c r="J159" s="904"/>
    </row>
    <row r="160" spans="1:10">
      <c r="A160" s="902"/>
      <c r="B160" s="468"/>
      <c r="C160" s="903"/>
      <c r="D160" s="903"/>
      <c r="E160" s="903"/>
      <c r="F160" s="903"/>
      <c r="G160" s="903"/>
      <c r="H160" s="903"/>
      <c r="I160" s="903"/>
      <c r="J160" s="903"/>
    </row>
    <row r="161" spans="1:10">
      <c r="A161" s="902">
        <f>A159+1</f>
        <v>109</v>
      </c>
      <c r="B161" s="848" t="s">
        <v>556</v>
      </c>
      <c r="C161" s="903"/>
      <c r="D161" s="903"/>
      <c r="E161" s="903"/>
      <c r="F161" s="903"/>
      <c r="G161" s="903"/>
      <c r="H161" s="903"/>
      <c r="I161" s="903"/>
      <c r="J161" s="903"/>
    </row>
    <row r="162" spans="1:10">
      <c r="A162" s="902">
        <f>A161+1</f>
        <v>110</v>
      </c>
      <c r="B162" s="848" t="s">
        <v>556</v>
      </c>
      <c r="C162" s="903"/>
      <c r="D162" s="903"/>
      <c r="E162" s="903"/>
      <c r="F162" s="903"/>
      <c r="G162" s="903"/>
      <c r="H162" s="903"/>
      <c r="I162" s="903"/>
      <c r="J162" s="903"/>
    </row>
    <row r="163" spans="1:10">
      <c r="A163" s="902">
        <f>A162+1</f>
        <v>111</v>
      </c>
      <c r="B163" s="848" t="s">
        <v>556</v>
      </c>
      <c r="C163" s="903"/>
      <c r="D163" s="903"/>
      <c r="E163" s="903"/>
      <c r="F163" s="903"/>
      <c r="G163" s="903"/>
      <c r="H163" s="903"/>
      <c r="I163" s="903"/>
      <c r="J163" s="903"/>
    </row>
    <row r="164" spans="1:10">
      <c r="B164" s="468"/>
      <c r="C164" s="901"/>
      <c r="D164" s="901"/>
      <c r="E164" s="901"/>
      <c r="F164" s="901"/>
      <c r="G164" s="901"/>
      <c r="H164" s="901"/>
      <c r="I164" s="901"/>
      <c r="J164" s="901"/>
    </row>
    <row r="165" spans="1:10" ht="15">
      <c r="A165" s="847" t="s">
        <v>527</v>
      </c>
    </row>
    <row r="166" spans="1:10">
      <c r="A166" s="888">
        <f>A163+1</f>
        <v>112</v>
      </c>
      <c r="B166" s="468" t="str">
        <f>"LTD Capital Cost Rate (Ln "&amp;A112&amp;" / Ln "&amp;A101&amp;")"</f>
        <v>LTD Capital Cost Rate (Ln 73 / Ln 65)</v>
      </c>
      <c r="C166" s="901" t="e">
        <f t="shared" ref="C166:J166" si="49">C112/C101</f>
        <v>#DIV/0!</v>
      </c>
      <c r="D166" s="901"/>
      <c r="E166" s="901" t="e">
        <f t="shared" si="49"/>
        <v>#DIV/0!</v>
      </c>
      <c r="F166" s="901" t="e">
        <f t="shared" si="49"/>
        <v>#DIV/0!</v>
      </c>
      <c r="G166" s="901" t="e">
        <f t="shared" si="49"/>
        <v>#DIV/0!</v>
      </c>
      <c r="H166" s="901" t="e">
        <f t="shared" si="49"/>
        <v>#DIV/0!</v>
      </c>
      <c r="I166" s="901" t="e">
        <f t="shared" si="49"/>
        <v>#DIV/0!</v>
      </c>
      <c r="J166" s="901" t="e">
        <f t="shared" si="49"/>
        <v>#DIV/0!</v>
      </c>
    </row>
    <row r="167" spans="1:10">
      <c r="A167" s="888">
        <f>A166+1</f>
        <v>113</v>
      </c>
      <c r="B167" s="468" t="str">
        <f>"Preferred Stock Capital Cost Rate (Ln "&amp;A140&amp;" / Ln "&amp;A139&amp;")"</f>
        <v>Preferred Stock Capital Cost Rate (Ln 95 / Ln 94)</v>
      </c>
      <c r="C167" s="901">
        <f t="shared" ref="C167:J167" si="50">IF(C139=0,0,C140/C139)</f>
        <v>0</v>
      </c>
      <c r="D167" s="901"/>
      <c r="E167" s="901">
        <f t="shared" si="50"/>
        <v>0</v>
      </c>
      <c r="F167" s="901">
        <f t="shared" si="50"/>
        <v>0</v>
      </c>
      <c r="G167" s="901">
        <f t="shared" si="50"/>
        <v>0</v>
      </c>
      <c r="H167" s="901">
        <f t="shared" si="50"/>
        <v>0</v>
      </c>
      <c r="I167" s="901">
        <f t="shared" si="50"/>
        <v>0</v>
      </c>
      <c r="J167" s="901">
        <f t="shared" si="50"/>
        <v>0</v>
      </c>
    </row>
    <row r="168" spans="1:10">
      <c r="A168" s="888">
        <f>A167+1</f>
        <v>114</v>
      </c>
      <c r="B168" s="468" t="s">
        <v>528</v>
      </c>
      <c r="C168" s="901">
        <v>0.1149</v>
      </c>
      <c r="D168" s="901"/>
      <c r="E168" s="901">
        <v>0.1149</v>
      </c>
      <c r="F168" s="901">
        <v>0.1149</v>
      </c>
      <c r="G168" s="901">
        <v>0.1149</v>
      </c>
      <c r="H168" s="901">
        <v>0.1149</v>
      </c>
      <c r="I168" s="901">
        <v>0.1149</v>
      </c>
      <c r="J168" s="901">
        <v>0.1149</v>
      </c>
    </row>
    <row r="170" spans="1:10" ht="15">
      <c r="A170" s="847" t="s">
        <v>529</v>
      </c>
    </row>
    <row r="171" spans="1:10">
      <c r="A171" s="888">
        <f>A168+1</f>
        <v>115</v>
      </c>
      <c r="B171" s="468" t="str">
        <f>"LTD Weighted Capital Cost Rate (Ln "&amp;A155&amp;" * Ln "&amp;A166&amp;")"</f>
        <v>LTD Weighted Capital Cost Rate (Ln 105 * Ln 112)</v>
      </c>
      <c r="C171" s="901" t="e">
        <f>C155*C166</f>
        <v>#DIV/0!</v>
      </c>
      <c r="D171" s="901"/>
      <c r="E171" s="901" t="e">
        <f t="shared" ref="E171:J171" si="51">E155*E166</f>
        <v>#DIV/0!</v>
      </c>
      <c r="F171" s="901" t="e">
        <f t="shared" si="51"/>
        <v>#DIV/0!</v>
      </c>
      <c r="G171" s="901" t="e">
        <f t="shared" si="51"/>
        <v>#DIV/0!</v>
      </c>
      <c r="H171" s="901" t="e">
        <f t="shared" si="51"/>
        <v>#DIV/0!</v>
      </c>
      <c r="I171" s="901" t="e">
        <f t="shared" si="51"/>
        <v>#DIV/0!</v>
      </c>
      <c r="J171" s="901" t="e">
        <f t="shared" si="51"/>
        <v>#DIV/0!</v>
      </c>
    </row>
    <row r="172" spans="1:10">
      <c r="A172" s="888">
        <f>A171+1</f>
        <v>116</v>
      </c>
      <c r="B172" s="468" t="str">
        <f>"Preferred Stock Capital Cost Rate (Ln "&amp;A156&amp;" * Ln "&amp;A167&amp;")"</f>
        <v>Preferred Stock Capital Cost Rate (Ln 106 * Ln 113)</v>
      </c>
      <c r="C172" s="901" t="e">
        <f>C156*C167</f>
        <v>#DIV/0!</v>
      </c>
      <c r="D172" s="901"/>
      <c r="E172" s="901" t="e">
        <f t="shared" ref="E172:J172" si="52">E156*E167</f>
        <v>#DIV/0!</v>
      </c>
      <c r="F172" s="901" t="e">
        <f t="shared" si="52"/>
        <v>#DIV/0!</v>
      </c>
      <c r="G172" s="901" t="e">
        <f t="shared" si="52"/>
        <v>#DIV/0!</v>
      </c>
      <c r="H172" s="901" t="e">
        <f t="shared" si="52"/>
        <v>#DIV/0!</v>
      </c>
      <c r="I172" s="901" t="e">
        <f t="shared" si="52"/>
        <v>#DIV/0!</v>
      </c>
      <c r="J172" s="901" t="e">
        <f t="shared" si="52"/>
        <v>#DIV/0!</v>
      </c>
    </row>
    <row r="173" spans="1:10">
      <c r="A173" s="888">
        <f>A172+1</f>
        <v>117</v>
      </c>
      <c r="B173" s="468" t="str">
        <f>"Common Equity Capital Cost Rate (Ln "&amp;A157&amp;" * Ln "&amp;A168&amp;")"</f>
        <v>Common Equity Capital Cost Rate (Ln 107 * Ln 114)</v>
      </c>
      <c r="C173" s="905" t="e">
        <f>C157*C168</f>
        <v>#DIV/0!</v>
      </c>
      <c r="D173" s="905"/>
      <c r="E173" s="905" t="e">
        <f t="shared" ref="E173:J173" si="53">E157*E168</f>
        <v>#DIV/0!</v>
      </c>
      <c r="F173" s="905" t="e">
        <f t="shared" si="53"/>
        <v>#DIV/0!</v>
      </c>
      <c r="G173" s="905" t="e">
        <f t="shared" si="53"/>
        <v>#DIV/0!</v>
      </c>
      <c r="H173" s="905" t="e">
        <f t="shared" si="53"/>
        <v>#DIV/0!</v>
      </c>
      <c r="I173" s="905" t="e">
        <f t="shared" si="53"/>
        <v>#DIV/0!</v>
      </c>
      <c r="J173" s="905" t="e">
        <f t="shared" si="53"/>
        <v>#DIV/0!</v>
      </c>
    </row>
    <row r="174" spans="1:10">
      <c r="A174" s="888">
        <f>A173+1</f>
        <v>118</v>
      </c>
      <c r="B174" s="906" t="s">
        <v>526</v>
      </c>
      <c r="C174" s="907" t="e">
        <f t="shared" ref="C174:J174" si="54">SUM(C171:C173)</f>
        <v>#DIV/0!</v>
      </c>
      <c r="D174" s="907"/>
      <c r="E174" s="907" t="e">
        <f t="shared" si="54"/>
        <v>#DIV/0!</v>
      </c>
      <c r="F174" s="907" t="e">
        <f t="shared" si="54"/>
        <v>#DIV/0!</v>
      </c>
      <c r="G174" s="907" t="e">
        <f t="shared" si="54"/>
        <v>#DIV/0!</v>
      </c>
      <c r="H174" s="907" t="e">
        <f t="shared" si="54"/>
        <v>#DIV/0!</v>
      </c>
      <c r="I174" s="907" t="e">
        <f t="shared" si="54"/>
        <v>#DIV/0!</v>
      </c>
      <c r="J174" s="907" t="e">
        <f t="shared" si="54"/>
        <v>#DIV/0!</v>
      </c>
    </row>
    <row r="177" spans="1:10">
      <c r="A177" s="1573" t="s">
        <v>505</v>
      </c>
      <c r="B177" s="1573"/>
      <c r="C177" s="1573"/>
      <c r="D177" s="1573"/>
      <c r="E177" s="1573"/>
      <c r="F177" s="1573"/>
      <c r="G177" s="1573"/>
      <c r="H177" s="1573"/>
      <c r="I177" s="1573"/>
      <c r="J177" s="1573"/>
    </row>
    <row r="178" spans="1:10">
      <c r="A178" s="1573" t="s">
        <v>530</v>
      </c>
      <c r="B178" s="1573"/>
      <c r="C178" s="1573"/>
      <c r="D178" s="1573"/>
      <c r="E178" s="1573"/>
      <c r="F178" s="1573"/>
      <c r="G178" s="1573"/>
      <c r="H178" s="1573"/>
      <c r="I178" s="1573"/>
      <c r="J178" s="1573"/>
    </row>
    <row r="179" spans="1:10">
      <c r="A179" s="1573" t="s">
        <v>250</v>
      </c>
      <c r="B179" s="1573"/>
      <c r="C179" s="1573"/>
      <c r="D179" s="1573"/>
      <c r="E179" s="1573"/>
      <c r="F179" s="1573"/>
      <c r="G179" s="1573"/>
      <c r="H179" s="1573"/>
      <c r="I179" s="1573"/>
      <c r="J179" s="1573"/>
    </row>
    <row r="181" spans="1:10" ht="76.5">
      <c r="A181" s="888" t="s">
        <v>459</v>
      </c>
      <c r="C181" s="889" t="s">
        <v>506</v>
      </c>
      <c r="D181" s="889"/>
      <c r="E181" s="889" t="s">
        <v>507</v>
      </c>
      <c r="F181" s="889" t="s">
        <v>508</v>
      </c>
      <c r="G181" s="889" t="s">
        <v>509</v>
      </c>
      <c r="H181" s="889" t="s">
        <v>510</v>
      </c>
      <c r="I181" s="889" t="s">
        <v>511</v>
      </c>
      <c r="J181" s="889" t="s">
        <v>512</v>
      </c>
    </row>
    <row r="182" spans="1:10" ht="15">
      <c r="A182" s="847" t="s">
        <v>531</v>
      </c>
    </row>
    <row r="183" spans="1:10">
      <c r="A183" s="888">
        <f>A174+1</f>
        <v>119</v>
      </c>
      <c r="B183" s="851" t="str">
        <f>"Average Bonds (Ln "&amp;A9&amp;" + Ln "&amp;A96&amp;") / 2"</f>
        <v>Average Bonds (Ln 1 + Ln 60) / 2</v>
      </c>
      <c r="C183" s="834" t="e">
        <f t="shared" ref="C183:I187" si="55">AVERAGE(C9,C96)</f>
        <v>#DIV/0!</v>
      </c>
      <c r="D183" s="834"/>
      <c r="E183" s="834" t="e">
        <f t="shared" si="55"/>
        <v>#DIV/0!</v>
      </c>
      <c r="F183" s="834" t="e">
        <f t="shared" si="55"/>
        <v>#DIV/0!</v>
      </c>
      <c r="G183" s="834" t="e">
        <f t="shared" si="55"/>
        <v>#DIV/0!</v>
      </c>
      <c r="H183" s="834" t="e">
        <f t="shared" si="55"/>
        <v>#DIV/0!</v>
      </c>
      <c r="I183" s="834" t="e">
        <f t="shared" si="55"/>
        <v>#DIV/0!</v>
      </c>
      <c r="J183" s="834" t="e">
        <f>SUM(C183:I183)</f>
        <v>#DIV/0!</v>
      </c>
    </row>
    <row r="184" spans="1:10">
      <c r="A184" s="888">
        <f>A183+1</f>
        <v>120</v>
      </c>
      <c r="B184" s="851" t="str">
        <f>"Less: Average Reacquired Bonds (Ln "&amp;A10&amp;" + Ln "&amp;A97&amp;") / 2"</f>
        <v>Less: Average Reacquired Bonds (Ln 2 + Ln 61) / 2</v>
      </c>
      <c r="C184" s="834" t="e">
        <f t="shared" si="55"/>
        <v>#DIV/0!</v>
      </c>
      <c r="D184" s="834"/>
      <c r="E184" s="834" t="e">
        <f t="shared" si="55"/>
        <v>#DIV/0!</v>
      </c>
      <c r="F184" s="834" t="e">
        <f t="shared" si="55"/>
        <v>#DIV/0!</v>
      </c>
      <c r="G184" s="834" t="e">
        <f t="shared" si="55"/>
        <v>#DIV/0!</v>
      </c>
      <c r="H184" s="834" t="e">
        <f t="shared" si="55"/>
        <v>#DIV/0!</v>
      </c>
      <c r="I184" s="834" t="e">
        <f t="shared" si="55"/>
        <v>#DIV/0!</v>
      </c>
      <c r="J184" s="834" t="e">
        <f>SUM(C184:I184)</f>
        <v>#DIV/0!</v>
      </c>
    </row>
    <row r="185" spans="1:10">
      <c r="A185" s="888">
        <f>A184+1</f>
        <v>121</v>
      </c>
      <c r="B185" s="852" t="str">
        <f>"Average LT Advances from Assoc. Companies (Ln "&amp;A11&amp;" + Ln "&amp;A98&amp;") / 2"</f>
        <v>Average LT Advances from Assoc. Companies (Ln 3 + Ln 62) / 2</v>
      </c>
      <c r="C185" s="834" t="e">
        <f t="shared" si="55"/>
        <v>#DIV/0!</v>
      </c>
      <c r="D185" s="834"/>
      <c r="E185" s="834" t="e">
        <f t="shared" si="55"/>
        <v>#DIV/0!</v>
      </c>
      <c r="F185" s="834" t="e">
        <f t="shared" si="55"/>
        <v>#DIV/0!</v>
      </c>
      <c r="G185" s="834" t="e">
        <f t="shared" si="55"/>
        <v>#DIV/0!</v>
      </c>
      <c r="H185" s="834" t="e">
        <f t="shared" si="55"/>
        <v>#DIV/0!</v>
      </c>
      <c r="I185" s="834" t="e">
        <f t="shared" si="55"/>
        <v>#DIV/0!</v>
      </c>
      <c r="J185" s="834" t="e">
        <f>SUM(C185:I185)</f>
        <v>#DIV/0!</v>
      </c>
    </row>
    <row r="186" spans="1:10">
      <c r="A186" s="888">
        <f>A185+1</f>
        <v>122</v>
      </c>
      <c r="B186" s="852" t="str">
        <f>"Average Senior Unsecured Notes (Ln "&amp;A12&amp;" + Ln "&amp;A99&amp;") / 2"</f>
        <v>Average Senior Unsecured Notes (Ln 4 + Ln 63) / 2</v>
      </c>
      <c r="C186" s="834" t="e">
        <f t="shared" si="55"/>
        <v>#DIV/0!</v>
      </c>
      <c r="D186" s="834"/>
      <c r="E186" s="834" t="e">
        <f t="shared" si="55"/>
        <v>#DIV/0!</v>
      </c>
      <c r="F186" s="834" t="e">
        <f t="shared" si="55"/>
        <v>#DIV/0!</v>
      </c>
      <c r="G186" s="834" t="e">
        <f t="shared" si="55"/>
        <v>#DIV/0!</v>
      </c>
      <c r="H186" s="834" t="e">
        <f t="shared" si="55"/>
        <v>#DIV/0!</v>
      </c>
      <c r="I186" s="834" t="e">
        <f t="shared" si="55"/>
        <v>#DIV/0!</v>
      </c>
      <c r="J186" s="834" t="e">
        <f>SUM(C186:I186)</f>
        <v>#DIV/0!</v>
      </c>
    </row>
    <row r="187" spans="1:10">
      <c r="A187" s="888">
        <f>A186+1</f>
        <v>123</v>
      </c>
      <c r="B187" s="852" t="str">
        <f>"Less: Average Fair Value Hedges (See Note on Ln "&amp;A190&amp;" below)"</f>
        <v>Less: Average Fair Value Hedges (See Note on Ln 125 below)</v>
      </c>
      <c r="C187" s="908" t="e">
        <f t="shared" si="55"/>
        <v>#DIV/0!</v>
      </c>
      <c r="D187" s="908"/>
      <c r="E187" s="908" t="e">
        <f t="shared" si="55"/>
        <v>#DIV/0!</v>
      </c>
      <c r="F187" s="908" t="e">
        <f t="shared" si="55"/>
        <v>#DIV/0!</v>
      </c>
      <c r="G187" s="908" t="e">
        <f t="shared" si="55"/>
        <v>#DIV/0!</v>
      </c>
      <c r="H187" s="908" t="e">
        <f t="shared" si="55"/>
        <v>#DIV/0!</v>
      </c>
      <c r="I187" s="908" t="e">
        <f t="shared" si="55"/>
        <v>#DIV/0!</v>
      </c>
      <c r="J187" s="890" t="e">
        <f>SUM(C187:I187)</f>
        <v>#DIV/0!</v>
      </c>
    </row>
    <row r="188" spans="1:10">
      <c r="A188" s="888">
        <f>A187+1</f>
        <v>124</v>
      </c>
      <c r="B188" s="853" t="s">
        <v>532</v>
      </c>
      <c r="C188" s="891" t="e">
        <f t="shared" ref="C188:J188" si="56">C183-C184+C185+C186-C187</f>
        <v>#DIV/0!</v>
      </c>
      <c r="D188" s="891"/>
      <c r="E188" s="891" t="e">
        <f t="shared" si="56"/>
        <v>#DIV/0!</v>
      </c>
      <c r="F188" s="891" t="e">
        <f t="shared" si="56"/>
        <v>#DIV/0!</v>
      </c>
      <c r="G188" s="891" t="e">
        <f t="shared" si="56"/>
        <v>#DIV/0!</v>
      </c>
      <c r="H188" s="891" t="e">
        <f t="shared" si="56"/>
        <v>#DIV/0!</v>
      </c>
      <c r="I188" s="891" t="e">
        <f t="shared" si="56"/>
        <v>#DIV/0!</v>
      </c>
      <c r="J188" s="891" t="e">
        <f t="shared" si="56"/>
        <v>#DIV/0!</v>
      </c>
    </row>
    <row r="190" spans="1:10" s="902" customFormat="1">
      <c r="A190" s="902">
        <f>A188+1</f>
        <v>125</v>
      </c>
      <c r="B190" s="1572" t="s">
        <v>57</v>
      </c>
      <c r="C190" s="1572"/>
      <c r="D190" s="1572"/>
      <c r="E190" s="1572"/>
      <c r="F190" s="1572"/>
      <c r="G190" s="1572"/>
      <c r="H190" s="1572"/>
      <c r="I190" s="1572"/>
      <c r="J190" s="1572"/>
    </row>
    <row r="191" spans="1:10" s="902" customFormat="1">
      <c r="A191" s="909"/>
      <c r="B191" s="892"/>
      <c r="C191" s="892"/>
      <c r="D191" s="892"/>
      <c r="E191" s="892"/>
      <c r="F191" s="892"/>
      <c r="G191" s="892"/>
      <c r="H191" s="892"/>
      <c r="I191" s="892"/>
      <c r="J191" s="892"/>
    </row>
    <row r="192" spans="1:10" ht="15">
      <c r="A192" s="847" t="str">
        <f>"Development of "&amp;TCOS!O3&amp;" Long Term Debt Interest Expense"</f>
        <v>Development of   Long Term Debt Interest Expense</v>
      </c>
      <c r="B192" s="902"/>
      <c r="C192" s="902"/>
      <c r="D192" s="902"/>
      <c r="E192" s="902"/>
      <c r="F192" s="902"/>
      <c r="G192" s="902"/>
      <c r="H192" s="902"/>
      <c r="I192" s="902"/>
      <c r="J192" s="902"/>
    </row>
    <row r="193" spans="1:10">
      <c r="A193" s="902">
        <f>A190+1</f>
        <v>126</v>
      </c>
      <c r="B193" s="852" t="str">
        <f t="shared" ref="B193:I193" si="57">B19</f>
        <v>Interest on Long Term Debt (256-257.33.i)</v>
      </c>
      <c r="C193" s="489">
        <f t="shared" si="57"/>
        <v>0</v>
      </c>
      <c r="D193" s="489"/>
      <c r="E193" s="489">
        <f t="shared" si="57"/>
        <v>0</v>
      </c>
      <c r="F193" s="489">
        <f t="shared" si="57"/>
        <v>0</v>
      </c>
      <c r="G193" s="489">
        <f t="shared" si="57"/>
        <v>0</v>
      </c>
      <c r="H193" s="489">
        <f t="shared" si="57"/>
        <v>0</v>
      </c>
      <c r="I193" s="489">
        <f t="shared" si="57"/>
        <v>0</v>
      </c>
      <c r="J193" s="489">
        <f t="shared" ref="J193:J198" si="58">SUM(C193:I193)</f>
        <v>0</v>
      </c>
    </row>
    <row r="194" spans="1:10">
      <c r="A194" s="902">
        <f t="shared" ref="A194:A199" si="59">A193+1</f>
        <v>127</v>
      </c>
      <c r="B194" s="852" t="str">
        <f t="shared" ref="B194:C198" si="60">B20</f>
        <v>Amort of Debt Discount &amp; Expense (117.63.c)</v>
      </c>
      <c r="C194" s="489">
        <f>C20</f>
        <v>0</v>
      </c>
      <c r="D194" s="489"/>
      <c r="E194" s="489">
        <f t="shared" ref="E194:I195" si="61">E20</f>
        <v>0</v>
      </c>
      <c r="F194" s="489">
        <f t="shared" si="61"/>
        <v>0</v>
      </c>
      <c r="G194" s="489">
        <f t="shared" si="61"/>
        <v>0</v>
      </c>
      <c r="H194" s="489">
        <f t="shared" si="61"/>
        <v>0</v>
      </c>
      <c r="I194" s="489">
        <f t="shared" si="61"/>
        <v>0</v>
      </c>
      <c r="J194" s="489">
        <f t="shared" si="58"/>
        <v>0</v>
      </c>
    </row>
    <row r="195" spans="1:10">
      <c r="A195" s="902">
        <f t="shared" si="59"/>
        <v>128</v>
      </c>
      <c r="B195" s="852" t="str">
        <f t="shared" si="60"/>
        <v>Amort of Loss on Reacquired Debt (117.64.c)</v>
      </c>
      <c r="C195" s="489">
        <f t="shared" si="60"/>
        <v>0</v>
      </c>
      <c r="D195" s="489"/>
      <c r="E195" s="489">
        <f t="shared" si="61"/>
        <v>0</v>
      </c>
      <c r="F195" s="489">
        <f t="shared" si="61"/>
        <v>0</v>
      </c>
      <c r="G195" s="489">
        <f t="shared" si="61"/>
        <v>0</v>
      </c>
      <c r="H195" s="489">
        <f t="shared" si="61"/>
        <v>0</v>
      </c>
      <c r="I195" s="489">
        <f t="shared" si="61"/>
        <v>0</v>
      </c>
      <c r="J195" s="489">
        <f t="shared" si="58"/>
        <v>0</v>
      </c>
    </row>
    <row r="196" spans="1:10">
      <c r="A196" s="902">
        <f t="shared" si="59"/>
        <v>129</v>
      </c>
      <c r="B196" s="852" t="str">
        <f>B22</f>
        <v>Less: Amort of Premium on Debt (117.65.c)</v>
      </c>
      <c r="C196" s="489">
        <f t="shared" ref="C196:I196" si="62">C22</f>
        <v>0</v>
      </c>
      <c r="D196" s="489"/>
      <c r="E196" s="489">
        <f t="shared" si="62"/>
        <v>0</v>
      </c>
      <c r="F196" s="489">
        <f t="shared" si="62"/>
        <v>0</v>
      </c>
      <c r="G196" s="489">
        <f t="shared" si="62"/>
        <v>0</v>
      </c>
      <c r="H196" s="489">
        <f t="shared" si="62"/>
        <v>0</v>
      </c>
      <c r="I196" s="489">
        <f t="shared" si="62"/>
        <v>0</v>
      </c>
      <c r="J196" s="834">
        <f t="shared" si="58"/>
        <v>0</v>
      </c>
    </row>
    <row r="197" spans="1:10">
      <c r="A197" s="902">
        <f t="shared" si="59"/>
        <v>130</v>
      </c>
      <c r="B197" s="852" t="str">
        <f t="shared" si="60"/>
        <v>Less: Amort of Gain on Reacquired Debt (117.66.c)</v>
      </c>
      <c r="C197" s="489">
        <f>C23</f>
        <v>0</v>
      </c>
      <c r="D197" s="489"/>
      <c r="E197" s="489">
        <f t="shared" ref="E197:I198" si="63">E23</f>
        <v>0</v>
      </c>
      <c r="F197" s="489">
        <f t="shared" si="63"/>
        <v>0</v>
      </c>
      <c r="G197" s="489">
        <f t="shared" si="63"/>
        <v>0</v>
      </c>
      <c r="H197" s="489">
        <f t="shared" si="63"/>
        <v>0</v>
      </c>
      <c r="I197" s="489">
        <f t="shared" si="63"/>
        <v>0</v>
      </c>
      <c r="J197" s="834">
        <f t="shared" si="58"/>
        <v>0</v>
      </c>
    </row>
    <row r="198" spans="1:10">
      <c r="A198" s="902">
        <f t="shared" si="59"/>
        <v>131</v>
      </c>
      <c r="B198" s="910" t="str">
        <f t="shared" si="60"/>
        <v>Less: Hedge Interest on pp 256-257(i)</v>
      </c>
      <c r="C198" s="908">
        <f>C24</f>
        <v>0</v>
      </c>
      <c r="D198" s="908"/>
      <c r="E198" s="908">
        <f t="shared" si="63"/>
        <v>0</v>
      </c>
      <c r="F198" s="908">
        <f t="shared" si="63"/>
        <v>0</v>
      </c>
      <c r="G198" s="908">
        <f t="shared" si="63"/>
        <v>0</v>
      </c>
      <c r="H198" s="908">
        <f t="shared" si="63"/>
        <v>0</v>
      </c>
      <c r="I198" s="908">
        <f t="shared" si="63"/>
        <v>0</v>
      </c>
      <c r="J198" s="890">
        <f t="shared" si="58"/>
        <v>0</v>
      </c>
    </row>
    <row r="199" spans="1:10">
      <c r="A199" s="902">
        <f t="shared" si="59"/>
        <v>132</v>
      </c>
      <c r="B199" s="911" t="str">
        <f>""&amp;TCOS!O3&amp;" LTD Interest Expense"</f>
        <v xml:space="preserve">  LTD Interest Expense</v>
      </c>
      <c r="C199" s="912">
        <f t="shared" ref="C199:J199" si="64">C193+C194+C195-C196-C197-C198</f>
        <v>0</v>
      </c>
      <c r="D199" s="912"/>
      <c r="E199" s="912">
        <f t="shared" si="64"/>
        <v>0</v>
      </c>
      <c r="F199" s="912">
        <f t="shared" si="64"/>
        <v>0</v>
      </c>
      <c r="G199" s="912">
        <f t="shared" si="64"/>
        <v>0</v>
      </c>
      <c r="H199" s="912">
        <f t="shared" si="64"/>
        <v>0</v>
      </c>
      <c r="I199" s="912">
        <f t="shared" si="64"/>
        <v>0</v>
      </c>
      <c r="J199" s="912">
        <f t="shared" si="64"/>
        <v>0</v>
      </c>
    </row>
    <row r="200" spans="1:10">
      <c r="A200" s="902"/>
      <c r="B200" s="902"/>
      <c r="C200" s="902"/>
      <c r="D200" s="902"/>
      <c r="E200" s="902"/>
      <c r="F200" s="902"/>
      <c r="G200" s="902"/>
      <c r="H200" s="902"/>
      <c r="I200" s="902"/>
      <c r="J200" s="902"/>
    </row>
    <row r="201" spans="1:10" ht="15">
      <c r="A201" s="847" t="str">
        <f>""&amp;TCOS!O3&amp;" Cost of Preferred Stock and Preferred Dividends"</f>
        <v xml:space="preserve">  Cost of Preferred Stock and Preferred Dividends</v>
      </c>
      <c r="B201" s="913"/>
      <c r="C201" s="913"/>
      <c r="D201" s="913"/>
      <c r="E201" s="913"/>
      <c r="F201" s="902"/>
      <c r="G201" s="902"/>
      <c r="H201" s="902"/>
      <c r="I201" s="902"/>
      <c r="J201" s="902"/>
    </row>
    <row r="202" spans="1:10">
      <c r="A202" s="902">
        <f>A199+1</f>
        <v>133</v>
      </c>
      <c r="B202" s="468" t="str">
        <f>"Average Balance of Preferred Stock (Ln "&amp;A52&amp;" + Ln "&amp;A139&amp;") / 2"</f>
        <v>Average Balance of Preferred Stock (Ln 35 + Ln 94) / 2</v>
      </c>
      <c r="C202" s="912">
        <f>AVERAGE(C52,C139)</f>
        <v>0</v>
      </c>
      <c r="D202" s="912"/>
      <c r="E202" s="912">
        <f t="shared" ref="E202:J202" si="65">AVERAGE(E52,E139)</f>
        <v>0</v>
      </c>
      <c r="F202" s="912">
        <f t="shared" si="65"/>
        <v>0</v>
      </c>
      <c r="G202" s="912">
        <f t="shared" si="65"/>
        <v>0</v>
      </c>
      <c r="H202" s="912">
        <f t="shared" si="65"/>
        <v>0</v>
      </c>
      <c r="I202" s="912">
        <f t="shared" si="65"/>
        <v>0</v>
      </c>
      <c r="J202" s="912">
        <f t="shared" si="65"/>
        <v>0</v>
      </c>
    </row>
    <row r="203" spans="1:10">
      <c r="A203" s="902">
        <f>A202+1</f>
        <v>134</v>
      </c>
      <c r="B203" s="468" t="str">
        <f>""&amp;TCOS!O3&amp;" Preferred Dividends (Ln "&amp;A53&amp;")"</f>
        <v xml:space="preserve">  Preferred Dividends (Ln 36)</v>
      </c>
      <c r="C203" s="912">
        <f>C53</f>
        <v>0</v>
      </c>
      <c r="D203" s="912"/>
      <c r="E203" s="912">
        <f t="shared" ref="E203:J203" si="66">E53</f>
        <v>0</v>
      </c>
      <c r="F203" s="912">
        <f t="shared" si="66"/>
        <v>0</v>
      </c>
      <c r="G203" s="912">
        <f t="shared" si="66"/>
        <v>0</v>
      </c>
      <c r="H203" s="912">
        <f t="shared" si="66"/>
        <v>0</v>
      </c>
      <c r="I203" s="912">
        <f t="shared" si="66"/>
        <v>0</v>
      </c>
      <c r="J203" s="912">
        <f t="shared" si="66"/>
        <v>0</v>
      </c>
    </row>
    <row r="204" spans="1:10">
      <c r="B204" s="909"/>
    </row>
    <row r="205" spans="1:10" ht="15">
      <c r="A205" s="847" t="s">
        <v>533</v>
      </c>
    </row>
    <row r="206" spans="1:10">
      <c r="A206" s="888">
        <f>A203+1</f>
        <v>135</v>
      </c>
      <c r="B206" s="666" t="str">
        <f>"Average Proprietary Capital (Ln "&amp;A56&amp;" + Ln "&amp;A143&amp;") / 2"</f>
        <v>Average Proprietary Capital (Ln 37 + Ln 96) / 2</v>
      </c>
      <c r="C206" s="489" t="e">
        <f t="shared" ref="C206:I206" si="67">AVERAGE(C56,C143)</f>
        <v>#DIV/0!</v>
      </c>
      <c r="D206" s="489"/>
      <c r="E206" s="489" t="e">
        <f t="shared" si="67"/>
        <v>#DIV/0!</v>
      </c>
      <c r="F206" s="489" t="e">
        <f t="shared" si="67"/>
        <v>#DIV/0!</v>
      </c>
      <c r="G206" s="489" t="e">
        <f t="shared" si="67"/>
        <v>#DIV/0!</v>
      </c>
      <c r="H206" s="489" t="e">
        <f t="shared" si="67"/>
        <v>#DIV/0!</v>
      </c>
      <c r="I206" s="489" t="e">
        <f t="shared" si="67"/>
        <v>#DIV/0!</v>
      </c>
      <c r="J206" s="895" t="e">
        <f>SUM(C206:I206)</f>
        <v>#DIV/0!</v>
      </c>
    </row>
    <row r="207" spans="1:10">
      <c r="A207" s="888">
        <f>A206+1</f>
        <v>136</v>
      </c>
      <c r="B207" s="666" t="str">
        <f>"Less: Average Preferred Stock (Ln "&amp;A202&amp;" Above)"</f>
        <v>Less: Average Preferred Stock (Ln 133 Above)</v>
      </c>
      <c r="C207" s="489">
        <f t="shared" ref="C207:H207" si="68">C202</f>
        <v>0</v>
      </c>
      <c r="D207" s="489"/>
      <c r="E207" s="489">
        <f t="shared" si="68"/>
        <v>0</v>
      </c>
      <c r="F207" s="489">
        <f t="shared" si="68"/>
        <v>0</v>
      </c>
      <c r="G207" s="489">
        <f t="shared" si="68"/>
        <v>0</v>
      </c>
      <c r="H207" s="489">
        <f t="shared" si="68"/>
        <v>0</v>
      </c>
      <c r="I207" s="489">
        <f>I202</f>
        <v>0</v>
      </c>
      <c r="J207" s="895">
        <f>SUM(C207:I207)</f>
        <v>0</v>
      </c>
    </row>
    <row r="208" spans="1:10">
      <c r="A208" s="888">
        <f>A207+1</f>
        <v>137</v>
      </c>
      <c r="B208" s="666" t="str">
        <f>"Less: Average Account 216.1 (Ln "&amp;A58&amp;" + Ln "&amp;A145&amp;") / 2"</f>
        <v>Less: Average Account 216.1 (Ln 39 + Ln 98) / 2</v>
      </c>
      <c r="C208" s="489" t="e">
        <f t="shared" ref="C208:I209" si="69">AVERAGE(C58,C145)</f>
        <v>#DIV/0!</v>
      </c>
      <c r="D208" s="489"/>
      <c r="E208" s="489" t="e">
        <f t="shared" si="69"/>
        <v>#DIV/0!</v>
      </c>
      <c r="F208" s="489" t="e">
        <f t="shared" si="69"/>
        <v>#DIV/0!</v>
      </c>
      <c r="G208" s="489" t="e">
        <f t="shared" si="69"/>
        <v>#DIV/0!</v>
      </c>
      <c r="H208" s="489" t="e">
        <f t="shared" si="69"/>
        <v>#DIV/0!</v>
      </c>
      <c r="I208" s="489" t="e">
        <f t="shared" si="69"/>
        <v>#DIV/0!</v>
      </c>
      <c r="J208" s="895" t="e">
        <f>SUM(C208:I208)</f>
        <v>#DIV/0!</v>
      </c>
    </row>
    <row r="209" spans="1:12">
      <c r="A209" s="888">
        <f>A208+1</f>
        <v>138</v>
      </c>
      <c r="B209" s="666" t="str">
        <f>"Less: Average Account 219.1 (Ln "&amp;A59&amp;" + Ln "&amp;A146&amp;") / 2"</f>
        <v>Less: Average Account 219.1 (Ln 40 + Ln 99) / 2</v>
      </c>
      <c r="C209" s="908" t="e">
        <f t="shared" si="69"/>
        <v>#DIV/0!</v>
      </c>
      <c r="D209" s="908"/>
      <c r="E209" s="908" t="e">
        <f t="shared" si="69"/>
        <v>#DIV/0!</v>
      </c>
      <c r="F209" s="908" t="e">
        <f t="shared" si="69"/>
        <v>#DIV/0!</v>
      </c>
      <c r="G209" s="908" t="e">
        <f t="shared" si="69"/>
        <v>#DIV/0!</v>
      </c>
      <c r="H209" s="908" t="e">
        <f t="shared" si="69"/>
        <v>#DIV/0!</v>
      </c>
      <c r="I209" s="908" t="e">
        <f t="shared" si="69"/>
        <v>#DIV/0!</v>
      </c>
      <c r="J209" s="900" t="e">
        <f>SUM(C209:I209)</f>
        <v>#DIV/0!</v>
      </c>
    </row>
    <row r="210" spans="1:12">
      <c r="A210" s="888">
        <f>A209+1</f>
        <v>139</v>
      </c>
      <c r="B210" s="849" t="s">
        <v>331</v>
      </c>
      <c r="C210" s="834" t="e">
        <f t="shared" ref="C210:J210" si="70">C206-C207-C208-C209</f>
        <v>#DIV/0!</v>
      </c>
      <c r="D210" s="834"/>
      <c r="E210" s="834" t="e">
        <f t="shared" si="70"/>
        <v>#DIV/0!</v>
      </c>
      <c r="F210" s="834" t="e">
        <f t="shared" si="70"/>
        <v>#DIV/0!</v>
      </c>
      <c r="G210" s="834" t="e">
        <f t="shared" si="70"/>
        <v>#DIV/0!</v>
      </c>
      <c r="H210" s="834" t="e">
        <f t="shared" si="70"/>
        <v>#DIV/0!</v>
      </c>
      <c r="I210" s="834" t="e">
        <f t="shared" si="70"/>
        <v>#DIV/0!</v>
      </c>
      <c r="J210" s="834" t="e">
        <f t="shared" si="70"/>
        <v>#DIV/0!</v>
      </c>
    </row>
    <row r="212" spans="1:12" ht="15">
      <c r="A212" s="847" t="s">
        <v>525</v>
      </c>
    </row>
    <row r="213" spans="1:12">
      <c r="A213" s="888">
        <f>A210+1</f>
        <v>140</v>
      </c>
      <c r="B213" s="468" t="str">
        <f>"Average Balance of Long Term Debt (Ln "&amp;A188&amp;" Above)"</f>
        <v>Average Balance of Long Term Debt (Ln 124 Above)</v>
      </c>
      <c r="C213" s="895" t="e">
        <f t="shared" ref="C213:J213" si="71">C188</f>
        <v>#DIV/0!</v>
      </c>
      <c r="D213" s="895"/>
      <c r="E213" s="895" t="e">
        <f t="shared" si="71"/>
        <v>#DIV/0!</v>
      </c>
      <c r="F213" s="895" t="e">
        <f t="shared" si="71"/>
        <v>#DIV/0!</v>
      </c>
      <c r="G213" s="895" t="e">
        <f t="shared" si="71"/>
        <v>#DIV/0!</v>
      </c>
      <c r="H213" s="895" t="e">
        <f t="shared" si="71"/>
        <v>#DIV/0!</v>
      </c>
      <c r="I213" s="895" t="e">
        <f t="shared" si="71"/>
        <v>#DIV/0!</v>
      </c>
      <c r="J213" s="895" t="e">
        <f t="shared" si="71"/>
        <v>#DIV/0!</v>
      </c>
    </row>
    <row r="214" spans="1:12">
      <c r="A214" s="888">
        <f>A213+1</f>
        <v>141</v>
      </c>
      <c r="B214" s="468" t="str">
        <f>"Average Balance of Preferred Stock (Ln "&amp;A202&amp;" Above)"</f>
        <v>Average Balance of Preferred Stock (Ln 133 Above)</v>
      </c>
      <c r="C214" s="895">
        <f t="shared" ref="C214:J214" si="72">C202</f>
        <v>0</v>
      </c>
      <c r="D214" s="895"/>
      <c r="E214" s="895">
        <f t="shared" si="72"/>
        <v>0</v>
      </c>
      <c r="F214" s="895">
        <f t="shared" si="72"/>
        <v>0</v>
      </c>
      <c r="G214" s="895">
        <f t="shared" si="72"/>
        <v>0</v>
      </c>
      <c r="H214" s="895">
        <f t="shared" si="72"/>
        <v>0</v>
      </c>
      <c r="I214" s="895">
        <f t="shared" si="72"/>
        <v>0</v>
      </c>
      <c r="J214" s="895">
        <f t="shared" si="72"/>
        <v>0</v>
      </c>
    </row>
    <row r="215" spans="1:12">
      <c r="A215" s="888">
        <f>A214+1</f>
        <v>142</v>
      </c>
      <c r="B215" s="468" t="str">
        <f>"Average Balance of Common Equity (Ln "&amp;A210&amp;" Above)"</f>
        <v>Average Balance of Common Equity (Ln 139 Above)</v>
      </c>
      <c r="C215" s="900" t="e">
        <f t="shared" ref="C215:J215" si="73">C210</f>
        <v>#DIV/0!</v>
      </c>
      <c r="D215" s="900"/>
      <c r="E215" s="900" t="e">
        <f t="shared" si="73"/>
        <v>#DIV/0!</v>
      </c>
      <c r="F215" s="900" t="e">
        <f t="shared" si="73"/>
        <v>#DIV/0!</v>
      </c>
      <c r="G215" s="900" t="e">
        <f t="shared" si="73"/>
        <v>#DIV/0!</v>
      </c>
      <c r="H215" s="900" t="e">
        <f t="shared" si="73"/>
        <v>#DIV/0!</v>
      </c>
      <c r="I215" s="900" t="e">
        <f t="shared" si="73"/>
        <v>#DIV/0!</v>
      </c>
      <c r="J215" s="900" t="e">
        <f t="shared" si="73"/>
        <v>#DIV/0!</v>
      </c>
    </row>
    <row r="216" spans="1:12">
      <c r="A216" s="888">
        <f>A215+1</f>
        <v>143</v>
      </c>
      <c r="B216" s="888" t="s">
        <v>534</v>
      </c>
      <c r="C216" s="895" t="e">
        <f t="shared" ref="C216:J216" si="74">SUM(C213:C215)</f>
        <v>#DIV/0!</v>
      </c>
      <c r="D216" s="895"/>
      <c r="E216" s="895" t="e">
        <f t="shared" si="74"/>
        <v>#DIV/0!</v>
      </c>
      <c r="F216" s="895" t="e">
        <f t="shared" si="74"/>
        <v>#DIV/0!</v>
      </c>
      <c r="G216" s="895" t="e">
        <f t="shared" si="74"/>
        <v>#DIV/0!</v>
      </c>
      <c r="H216" s="895" t="e">
        <f t="shared" si="74"/>
        <v>#DIV/0!</v>
      </c>
      <c r="I216" s="895" t="e">
        <f t="shared" si="74"/>
        <v>#DIV/0!</v>
      </c>
      <c r="J216" s="895" t="e">
        <f t="shared" si="74"/>
        <v>#DIV/0!</v>
      </c>
      <c r="L216" s="914"/>
    </row>
    <row r="218" spans="1:12">
      <c r="A218" s="888">
        <f>A216+1</f>
        <v>144</v>
      </c>
      <c r="B218" s="468" t="str">
        <f>"Average Balance of LTD Capital Shares (Ln "&amp;A213&amp;" / Ln "&amp;A216&amp;")"</f>
        <v>Average Balance of LTD Capital Shares (Ln 140 / Ln 143)</v>
      </c>
      <c r="C218" s="901" t="e">
        <f t="shared" ref="C218:I218" si="75">C213/C216</f>
        <v>#DIV/0!</v>
      </c>
      <c r="D218" s="901"/>
      <c r="E218" s="901" t="e">
        <f t="shared" si="75"/>
        <v>#DIV/0!</v>
      </c>
      <c r="F218" s="901" t="e">
        <f t="shared" si="75"/>
        <v>#DIV/0!</v>
      </c>
      <c r="G218" s="901" t="e">
        <f t="shared" si="75"/>
        <v>#DIV/0!</v>
      </c>
      <c r="H218" s="901" t="e">
        <f t="shared" si="75"/>
        <v>#DIV/0!</v>
      </c>
      <c r="I218" s="901" t="e">
        <f t="shared" si="75"/>
        <v>#DIV/0!</v>
      </c>
      <c r="J218" s="901" t="e">
        <f>J213/J216</f>
        <v>#DIV/0!</v>
      </c>
    </row>
    <row r="219" spans="1:12">
      <c r="A219" s="888">
        <f>A218+1</f>
        <v>145</v>
      </c>
      <c r="B219" s="468" t="str">
        <f>"Average Balance of Preferred Stock Capital Shares (Ln "&amp;A214&amp;" / Ln "&amp;A216&amp;")"</f>
        <v>Average Balance of Preferred Stock Capital Shares (Ln 141 / Ln 143)</v>
      </c>
      <c r="C219" s="901" t="e">
        <f t="shared" ref="C219:I219" si="76">C214/C216</f>
        <v>#DIV/0!</v>
      </c>
      <c r="D219" s="901"/>
      <c r="E219" s="901" t="e">
        <f t="shared" si="76"/>
        <v>#DIV/0!</v>
      </c>
      <c r="F219" s="901" t="e">
        <f t="shared" si="76"/>
        <v>#DIV/0!</v>
      </c>
      <c r="G219" s="901" t="e">
        <f t="shared" si="76"/>
        <v>#DIV/0!</v>
      </c>
      <c r="H219" s="901" t="e">
        <f t="shared" si="76"/>
        <v>#DIV/0!</v>
      </c>
      <c r="I219" s="901" t="e">
        <f t="shared" si="76"/>
        <v>#DIV/0!</v>
      </c>
      <c r="J219" s="901" t="e">
        <f>J214/J216</f>
        <v>#DIV/0!</v>
      </c>
    </row>
    <row r="220" spans="1:12">
      <c r="A220" s="902">
        <f>A219+1</f>
        <v>146</v>
      </c>
      <c r="B220" s="468" t="str">
        <f>"Average Balance of Common Equity Capital Shares (Ln "&amp;A215&amp;" / Ln "&amp;A216&amp;")"</f>
        <v>Average Balance of Common Equity Capital Shares (Ln 142 / Ln 143)</v>
      </c>
      <c r="C220" s="903" t="e">
        <f t="shared" ref="C220:I220" si="77">C215/C216</f>
        <v>#DIV/0!</v>
      </c>
      <c r="D220" s="903"/>
      <c r="E220" s="903" t="e">
        <f t="shared" si="77"/>
        <v>#DIV/0!</v>
      </c>
      <c r="F220" s="903" t="e">
        <f t="shared" si="77"/>
        <v>#DIV/0!</v>
      </c>
      <c r="G220" s="903" t="e">
        <f t="shared" si="77"/>
        <v>#DIV/0!</v>
      </c>
      <c r="H220" s="903" t="e">
        <f t="shared" si="77"/>
        <v>#DIV/0!</v>
      </c>
      <c r="I220" s="903" t="e">
        <f t="shared" si="77"/>
        <v>#DIV/0!</v>
      </c>
      <c r="J220" s="903" t="e">
        <f>J215/J216</f>
        <v>#DIV/0!</v>
      </c>
    </row>
    <row r="221" spans="1:12">
      <c r="A221" s="902"/>
      <c r="B221" s="468"/>
      <c r="C221" s="903"/>
      <c r="D221" s="903"/>
      <c r="E221" s="903"/>
      <c r="F221" s="903"/>
      <c r="G221" s="903"/>
      <c r="H221" s="903"/>
      <c r="I221" s="903"/>
      <c r="J221" s="903"/>
    </row>
    <row r="222" spans="1:12">
      <c r="A222" s="902">
        <f>A220+1</f>
        <v>147</v>
      </c>
      <c r="B222" s="848" t="s">
        <v>556</v>
      </c>
      <c r="C222" s="903"/>
      <c r="D222" s="903"/>
      <c r="E222" s="903"/>
      <c r="F222" s="903"/>
      <c r="G222" s="903"/>
      <c r="H222" s="903"/>
      <c r="I222" s="903"/>
      <c r="J222" s="903"/>
    </row>
    <row r="223" spans="1:12">
      <c r="A223" s="902"/>
      <c r="B223" s="468"/>
      <c r="C223" s="903"/>
      <c r="D223" s="903"/>
      <c r="E223" s="903"/>
      <c r="F223" s="903"/>
      <c r="G223" s="903"/>
      <c r="H223" s="903"/>
      <c r="I223" s="903"/>
      <c r="J223" s="903"/>
    </row>
    <row r="224" spans="1:12">
      <c r="A224" s="902">
        <f>A222+1</f>
        <v>148</v>
      </c>
      <c r="B224" s="848" t="s">
        <v>556</v>
      </c>
      <c r="C224" s="903"/>
      <c r="D224" s="903"/>
      <c r="E224" s="903"/>
      <c r="F224" s="903"/>
      <c r="G224" s="903"/>
      <c r="H224" s="903"/>
      <c r="I224" s="903"/>
      <c r="J224" s="903"/>
    </row>
    <row r="225" spans="1:10">
      <c r="A225" s="902">
        <f>A224+1</f>
        <v>149</v>
      </c>
      <c r="B225" s="848" t="s">
        <v>556</v>
      </c>
      <c r="C225" s="903"/>
      <c r="D225" s="903"/>
      <c r="E225" s="903"/>
      <c r="F225" s="903"/>
      <c r="G225" s="903"/>
      <c r="H225" s="903"/>
      <c r="I225" s="903"/>
      <c r="J225" s="903"/>
    </row>
    <row r="226" spans="1:10">
      <c r="A226" s="902">
        <f>A225+1</f>
        <v>150</v>
      </c>
      <c r="B226" s="848" t="s">
        <v>556</v>
      </c>
      <c r="C226" s="903"/>
      <c r="D226" s="903"/>
      <c r="E226" s="903"/>
      <c r="F226" s="903"/>
      <c r="G226" s="903"/>
      <c r="H226" s="903"/>
      <c r="I226" s="903"/>
      <c r="J226" s="903"/>
    </row>
    <row r="227" spans="1:10">
      <c r="A227" s="902"/>
      <c r="B227" s="468"/>
      <c r="C227" s="903"/>
      <c r="D227" s="903"/>
      <c r="E227" s="903"/>
      <c r="F227" s="903"/>
      <c r="G227" s="903"/>
      <c r="H227" s="903"/>
      <c r="I227" s="903"/>
      <c r="J227" s="903"/>
    </row>
    <row r="228" spans="1:10" ht="15">
      <c r="A228" s="847" t="s">
        <v>527</v>
      </c>
      <c r="B228" s="902"/>
      <c r="C228" s="902"/>
      <c r="D228" s="902"/>
      <c r="E228" s="902"/>
      <c r="F228" s="902"/>
      <c r="G228" s="902"/>
      <c r="H228" s="902"/>
      <c r="I228" s="902"/>
      <c r="J228" s="902"/>
    </row>
    <row r="229" spans="1:10">
      <c r="A229" s="902">
        <f>A226+1</f>
        <v>151</v>
      </c>
      <c r="B229" s="468" t="str">
        <f>"LTD Capital Cost Rate (Ln "&amp;A199&amp;" / Ln "&amp;A188&amp;")"</f>
        <v>LTD Capital Cost Rate (Ln 132 / Ln 124)</v>
      </c>
      <c r="C229" s="903" t="e">
        <f t="shared" ref="C229:J229" si="78">C199/C188</f>
        <v>#DIV/0!</v>
      </c>
      <c r="D229" s="903"/>
      <c r="E229" s="903" t="e">
        <f t="shared" si="78"/>
        <v>#DIV/0!</v>
      </c>
      <c r="F229" s="903" t="e">
        <f t="shared" si="78"/>
        <v>#DIV/0!</v>
      </c>
      <c r="G229" s="903" t="e">
        <f t="shared" si="78"/>
        <v>#DIV/0!</v>
      </c>
      <c r="H229" s="903" t="e">
        <f t="shared" si="78"/>
        <v>#DIV/0!</v>
      </c>
      <c r="I229" s="903" t="e">
        <f t="shared" si="78"/>
        <v>#DIV/0!</v>
      </c>
      <c r="J229" s="903" t="e">
        <f t="shared" si="78"/>
        <v>#DIV/0!</v>
      </c>
    </row>
    <row r="230" spans="1:10">
      <c r="A230" s="902">
        <f>A229+1</f>
        <v>152</v>
      </c>
      <c r="B230" s="468" t="str">
        <f>"Preferred Stock Capital Cost Rate (Ln "&amp;A203&amp;" / Ln "&amp;A202&amp;")"</f>
        <v>Preferred Stock Capital Cost Rate (Ln 134 / Ln 133)</v>
      </c>
      <c r="C230" s="903">
        <f t="shared" ref="C230:J230" si="79">IF(C202=0,0,C203/C202)</f>
        <v>0</v>
      </c>
      <c r="D230" s="903"/>
      <c r="E230" s="903">
        <f t="shared" si="79"/>
        <v>0</v>
      </c>
      <c r="F230" s="903">
        <f t="shared" si="79"/>
        <v>0</v>
      </c>
      <c r="G230" s="903">
        <f t="shared" si="79"/>
        <v>0</v>
      </c>
      <c r="H230" s="903">
        <f t="shared" si="79"/>
        <v>0</v>
      </c>
      <c r="I230" s="903">
        <f t="shared" si="79"/>
        <v>0</v>
      </c>
      <c r="J230" s="903">
        <f t="shared" si="79"/>
        <v>0</v>
      </c>
    </row>
    <row r="231" spans="1:10">
      <c r="A231" s="902">
        <f>A230+1</f>
        <v>153</v>
      </c>
      <c r="B231" s="468" t="s">
        <v>528</v>
      </c>
      <c r="C231" s="903">
        <v>0.1149</v>
      </c>
      <c r="D231" s="903"/>
      <c r="E231" s="903">
        <v>0.1149</v>
      </c>
      <c r="F231" s="903">
        <v>0.1149</v>
      </c>
      <c r="G231" s="903">
        <v>0.1149</v>
      </c>
      <c r="H231" s="903">
        <v>0.1149</v>
      </c>
      <c r="I231" s="903">
        <v>0.1149</v>
      </c>
      <c r="J231" s="903">
        <v>0.1149</v>
      </c>
    </row>
    <row r="232" spans="1:10">
      <c r="A232" s="902"/>
      <c r="B232" s="902"/>
      <c r="C232" s="902"/>
      <c r="D232" s="902"/>
      <c r="E232" s="902"/>
      <c r="F232" s="902"/>
      <c r="G232" s="902"/>
      <c r="H232" s="902"/>
      <c r="I232" s="902"/>
      <c r="J232" s="902"/>
    </row>
    <row r="233" spans="1:10" ht="15">
      <c r="A233" s="847" t="s">
        <v>529</v>
      </c>
      <c r="B233" s="902"/>
      <c r="C233" s="902"/>
      <c r="D233" s="902"/>
      <c r="E233" s="902"/>
      <c r="F233" s="902"/>
      <c r="G233" s="902"/>
      <c r="H233" s="902"/>
      <c r="I233" s="902"/>
      <c r="J233" s="902"/>
    </row>
    <row r="234" spans="1:10">
      <c r="A234" s="902">
        <f>A231+1</f>
        <v>154</v>
      </c>
      <c r="B234" s="468" t="str">
        <f>"LTD Weighted Capital Cost Rate (Ln "&amp;A218&amp;" * Ln "&amp;A229&amp;")"</f>
        <v>LTD Weighted Capital Cost Rate (Ln 144 * Ln 151)</v>
      </c>
      <c r="C234" s="903" t="e">
        <f>C218*C229</f>
        <v>#DIV/0!</v>
      </c>
      <c r="D234" s="903"/>
      <c r="E234" s="903" t="e">
        <f t="shared" ref="E234:J234" si="80">E218*E229</f>
        <v>#DIV/0!</v>
      </c>
      <c r="F234" s="903" t="e">
        <f t="shared" si="80"/>
        <v>#DIV/0!</v>
      </c>
      <c r="G234" s="903" t="e">
        <f t="shared" si="80"/>
        <v>#DIV/0!</v>
      </c>
      <c r="H234" s="903" t="e">
        <f t="shared" si="80"/>
        <v>#DIV/0!</v>
      </c>
      <c r="I234" s="903" t="e">
        <f t="shared" si="80"/>
        <v>#DIV/0!</v>
      </c>
      <c r="J234" s="903" t="e">
        <f t="shared" si="80"/>
        <v>#DIV/0!</v>
      </c>
    </row>
    <row r="235" spans="1:10">
      <c r="A235" s="902">
        <f>A234+1</f>
        <v>155</v>
      </c>
      <c r="B235" s="468" t="str">
        <f>"Preferred Stock Capital Cost Rate (Ln "&amp;A219&amp;" * Ln "&amp;A230&amp;")"</f>
        <v>Preferred Stock Capital Cost Rate (Ln 145 * Ln 152)</v>
      </c>
      <c r="C235" s="903" t="e">
        <f>C219*C230</f>
        <v>#DIV/0!</v>
      </c>
      <c r="D235" s="903"/>
      <c r="E235" s="903" t="e">
        <f t="shared" ref="E235:J235" si="81">E219*E230</f>
        <v>#DIV/0!</v>
      </c>
      <c r="F235" s="903" t="e">
        <f t="shared" si="81"/>
        <v>#DIV/0!</v>
      </c>
      <c r="G235" s="903" t="e">
        <f t="shared" si="81"/>
        <v>#DIV/0!</v>
      </c>
      <c r="H235" s="903" t="e">
        <f t="shared" si="81"/>
        <v>#DIV/0!</v>
      </c>
      <c r="I235" s="903" t="e">
        <f t="shared" si="81"/>
        <v>#DIV/0!</v>
      </c>
      <c r="J235" s="903" t="e">
        <f t="shared" si="81"/>
        <v>#DIV/0!</v>
      </c>
    </row>
    <row r="236" spans="1:10">
      <c r="A236" s="902">
        <f>A235+1</f>
        <v>156</v>
      </c>
      <c r="B236" s="468" t="str">
        <f>"Common Equity Capital Cost Rate (Ln "&amp;A220&amp;" * Ln "&amp;A231&amp;")"</f>
        <v>Common Equity Capital Cost Rate (Ln 146 * Ln 153)</v>
      </c>
      <c r="C236" s="915" t="e">
        <f>C220*C231</f>
        <v>#DIV/0!</v>
      </c>
      <c r="D236" s="915"/>
      <c r="E236" s="915" t="e">
        <f t="shared" ref="E236:J236" si="82">E220*E231</f>
        <v>#DIV/0!</v>
      </c>
      <c r="F236" s="915" t="e">
        <f t="shared" si="82"/>
        <v>#DIV/0!</v>
      </c>
      <c r="G236" s="915" t="e">
        <f t="shared" si="82"/>
        <v>#DIV/0!</v>
      </c>
      <c r="H236" s="915" t="e">
        <f t="shared" si="82"/>
        <v>#DIV/0!</v>
      </c>
      <c r="I236" s="915" t="e">
        <f t="shared" si="82"/>
        <v>#DIV/0!</v>
      </c>
      <c r="J236" s="915" t="e">
        <f t="shared" si="82"/>
        <v>#DIV/0!</v>
      </c>
    </row>
    <row r="237" spans="1:10">
      <c r="A237" s="902">
        <f>A236+1</f>
        <v>157</v>
      </c>
      <c r="B237" s="911" t="s">
        <v>61</v>
      </c>
      <c r="C237" s="916" t="e">
        <f t="shared" ref="C237:J237" si="83">SUM(C234:C236)</f>
        <v>#DIV/0!</v>
      </c>
      <c r="D237" s="916"/>
      <c r="E237" s="916" t="e">
        <f t="shared" si="83"/>
        <v>#DIV/0!</v>
      </c>
      <c r="F237" s="916" t="e">
        <f t="shared" si="83"/>
        <v>#DIV/0!</v>
      </c>
      <c r="G237" s="916" t="e">
        <f t="shared" si="83"/>
        <v>#DIV/0!</v>
      </c>
      <c r="H237" s="916" t="e">
        <f t="shared" si="83"/>
        <v>#DIV/0!</v>
      </c>
      <c r="I237" s="916" t="e">
        <f t="shared" si="83"/>
        <v>#DIV/0!</v>
      </c>
      <c r="J237" s="916" t="e">
        <f t="shared" si="83"/>
        <v>#DIV/0!</v>
      </c>
    </row>
    <row r="238" spans="1:10">
      <c r="A238" s="902"/>
      <c r="B238" s="909"/>
      <c r="C238" s="902"/>
      <c r="D238" s="902"/>
      <c r="E238" s="902"/>
      <c r="F238" s="902"/>
      <c r="G238" s="902"/>
      <c r="H238" s="902"/>
      <c r="I238" s="902"/>
      <c r="J238" s="902"/>
    </row>
    <row r="239" spans="1:10">
      <c r="A239" s="902"/>
      <c r="B239" s="902"/>
      <c r="C239" s="902"/>
      <c r="D239" s="902"/>
      <c r="E239" s="902"/>
      <c r="F239" s="902"/>
      <c r="G239" s="902"/>
      <c r="H239" s="902"/>
      <c r="I239" s="902"/>
      <c r="J239" s="902"/>
    </row>
  </sheetData>
  <mergeCells count="12">
    <mergeCell ref="B190:J190"/>
    <mergeCell ref="B16:J16"/>
    <mergeCell ref="A3:J3"/>
    <mergeCell ref="A4:J4"/>
    <mergeCell ref="A5:J5"/>
    <mergeCell ref="A90:J90"/>
    <mergeCell ref="A91:J91"/>
    <mergeCell ref="A92:J92"/>
    <mergeCell ref="B103:J103"/>
    <mergeCell ref="A177:J177"/>
    <mergeCell ref="A178:J178"/>
    <mergeCell ref="A179:J179"/>
  </mergeCells>
  <phoneticPr fontId="111" type="noConversion"/>
  <pageMargins left="0.5" right="0.5" top="1" bottom="1" header="0.5" footer="0.5"/>
  <pageSetup scale="51" fitToHeight="0" orientation="portrait" r:id="rId1"/>
  <headerFooter alignWithMargins="0">
    <oddHeader>&amp;RFormula Rate 
&amp;A
Page &amp;P of &amp;N</oddHeader>
  </headerFooter>
  <rowBreaks count="2" manualBreakCount="2">
    <brk id="89" max="9" man="1"/>
    <brk id="176" max="9" man="1"/>
  </rowBreaks>
  <ignoredErrors>
    <ignoredError sqref="J60" unlockedFormula="1"/>
  </ignoredError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codeName="Sheet23"/>
  <dimension ref="B1:L57"/>
  <sheetViews>
    <sheetView view="pageBreakPreview" topLeftCell="A4" zoomScale="60" zoomScaleNormal="100" workbookViewId="0">
      <selection activeCell="B17" sqref="B17"/>
    </sheetView>
  </sheetViews>
  <sheetFormatPr defaultColWidth="8.85546875" defaultRowHeight="12.75"/>
  <cols>
    <col min="1" max="1" width="8.85546875" style="173"/>
    <col min="2" max="2" width="31.710937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75" t="s">
        <v>608</v>
      </c>
      <c r="C1" s="1575"/>
      <c r="D1" s="1575"/>
      <c r="E1" s="1575"/>
      <c r="F1" s="1575"/>
      <c r="G1" s="1575"/>
      <c r="H1" s="1575"/>
      <c r="I1" s="1575"/>
      <c r="J1" s="1575"/>
      <c r="K1" s="1575"/>
      <c r="L1" s="1575"/>
    </row>
    <row r="2" spans="2:12" ht="15.75">
      <c r="B2" s="1576" t="s">
        <v>555</v>
      </c>
      <c r="C2" s="1576"/>
      <c r="D2" s="1576"/>
      <c r="E2" s="1576"/>
      <c r="F2" s="1576"/>
      <c r="G2" s="1576"/>
      <c r="H2" s="1576"/>
      <c r="I2" s="1576"/>
      <c r="J2" s="1576"/>
      <c r="K2" s="1576"/>
      <c r="L2" s="1576"/>
    </row>
    <row r="3" spans="2:12" ht="18">
      <c r="B3" s="1574" t="s">
        <v>585</v>
      </c>
      <c r="C3" s="1574"/>
      <c r="D3" s="1574"/>
      <c r="E3" s="1574"/>
      <c r="F3" s="1574"/>
      <c r="G3" s="1574"/>
      <c r="H3" s="1574"/>
      <c r="I3" s="1574"/>
      <c r="J3" s="1574"/>
      <c r="K3" s="1574"/>
      <c r="L3" s="1574"/>
    </row>
    <row r="4" spans="2:12" ht="15.75">
      <c r="B4" s="393"/>
      <c r="C4" s="393"/>
      <c r="D4" s="393"/>
      <c r="E4" s="1576"/>
      <c r="F4" s="1576"/>
      <c r="G4" s="1576"/>
      <c r="H4" s="1576"/>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2"/>
      <c r="C7" s="923"/>
      <c r="D7" s="923"/>
      <c r="E7" s="923"/>
      <c r="F7" s="923"/>
      <c r="G7" s="923"/>
      <c r="H7" s="923"/>
      <c r="I7" s="923"/>
      <c r="J7" s="923"/>
      <c r="K7" s="923"/>
      <c r="L7" s="923"/>
    </row>
    <row r="8" spans="2:12" ht="70.5" customHeight="1">
      <c r="B8" s="1398" t="str">
        <f>"Reconciliation Revenue Requirement For Year 2023 Available May 25, 2024"</f>
        <v>Reconciliation Revenue Requirement For Year 2023 Available May 25, 2024</v>
      </c>
      <c r="C8" s="1399"/>
      <c r="D8" s="1399"/>
      <c r="E8" s="1398" t="s">
        <v>982</v>
      </c>
      <c r="F8" s="923"/>
      <c r="G8" s="923"/>
      <c r="H8" s="393"/>
      <c r="I8" s="1307" t="s">
        <v>557</v>
      </c>
      <c r="J8" s="393"/>
      <c r="K8" s="393"/>
      <c r="L8" s="1308" t="s">
        <v>406</v>
      </c>
    </row>
    <row r="9" spans="2:12" ht="15.75">
      <c r="B9" s="924" t="s">
        <v>406</v>
      </c>
      <c r="C9" s="923"/>
      <c r="D9" s="923"/>
      <c r="E9" s="924"/>
      <c r="F9" s="923"/>
      <c r="G9" s="923"/>
      <c r="H9" s="393"/>
      <c r="I9" s="925"/>
      <c r="J9" s="393"/>
      <c r="K9" s="393"/>
      <c r="L9" s="1309"/>
    </row>
    <row r="10" spans="2:12" ht="24" thickBot="1">
      <c r="B10" s="921">
        <v>14434488.875774909</v>
      </c>
      <c r="C10" s="1310" t="str">
        <f>"-"</f>
        <v>-</v>
      </c>
      <c r="D10" s="926"/>
      <c r="E10" s="921">
        <v>16032704.659965754</v>
      </c>
      <c r="F10" s="927"/>
      <c r="G10" s="1311" t="str">
        <f>"="</f>
        <v>=</v>
      </c>
      <c r="H10" s="928"/>
      <c r="I10" s="929">
        <f>IF(B10=0,0,E10-B10)</f>
        <v>1598215.7841908447</v>
      </c>
      <c r="J10" s="393"/>
      <c r="K10" s="393"/>
      <c r="L10" s="393"/>
    </row>
    <row r="11" spans="2:12" ht="15.75">
      <c r="B11" s="930"/>
      <c r="C11" s="931"/>
      <c r="D11" s="931"/>
      <c r="E11" s="930"/>
      <c r="F11" s="930"/>
      <c r="G11" s="931"/>
      <c r="H11" s="930"/>
      <c r="I11" s="393"/>
      <c r="J11" s="393"/>
      <c r="K11" s="393"/>
      <c r="L11" s="393"/>
    </row>
    <row r="12" spans="2:12" ht="16.5" thickBot="1">
      <c r="B12" s="932"/>
      <c r="C12" s="933"/>
      <c r="D12" s="933"/>
      <c r="E12" s="932"/>
      <c r="F12" s="932"/>
      <c r="G12" s="933"/>
      <c r="H12" s="932"/>
      <c r="I12" s="934"/>
      <c r="J12" s="934"/>
      <c r="K12" s="934"/>
      <c r="L12" s="934"/>
    </row>
    <row r="13" spans="2:12" ht="15.75">
      <c r="B13" s="935"/>
      <c r="C13" s="931"/>
      <c r="D13" s="931"/>
      <c r="E13" s="930"/>
      <c r="F13" s="930"/>
      <c r="G13" s="931"/>
      <c r="H13" s="930"/>
      <c r="I13" s="393"/>
      <c r="J13" s="393"/>
      <c r="K13" s="393"/>
      <c r="L13" s="393"/>
    </row>
    <row r="14" spans="2:12" ht="47.25">
      <c r="B14" s="936" t="s">
        <v>802</v>
      </c>
      <c r="C14" s="931"/>
      <c r="D14" s="931"/>
      <c r="E14" s="937" t="s">
        <v>558</v>
      </c>
      <c r="F14" s="930"/>
      <c r="G14" s="937" t="s">
        <v>559</v>
      </c>
      <c r="H14" s="938" t="s">
        <v>560</v>
      </c>
      <c r="I14" s="939" t="s">
        <v>561</v>
      </c>
      <c r="J14" s="937" t="s">
        <v>562</v>
      </c>
      <c r="K14" s="940"/>
      <c r="L14" s="937" t="s">
        <v>563</v>
      </c>
    </row>
    <row r="15" spans="2:12" ht="15.75">
      <c r="B15" s="936" t="s">
        <v>803</v>
      </c>
      <c r="C15" s="931"/>
      <c r="D15" s="931"/>
      <c r="E15" s="393"/>
      <c r="F15" s="941"/>
      <c r="G15" s="953">
        <v>6.4749999999999981E-3</v>
      </c>
      <c r="I15" s="393"/>
      <c r="J15" s="393"/>
      <c r="K15" s="393"/>
      <c r="L15" s="393"/>
    </row>
    <row r="16" spans="2:12" ht="15.75">
      <c r="B16" s="936"/>
      <c r="C16" s="931"/>
      <c r="D16" s="931"/>
      <c r="E16" s="393"/>
      <c r="F16" s="941"/>
      <c r="G16" s="941"/>
      <c r="H16" s="930"/>
      <c r="I16" s="393"/>
      <c r="J16" s="393"/>
      <c r="K16" s="393"/>
      <c r="L16" s="393"/>
    </row>
    <row r="17" spans="2:12" ht="15.75">
      <c r="B17" s="1397" t="s">
        <v>984</v>
      </c>
      <c r="C17" s="931"/>
      <c r="D17" s="931"/>
      <c r="E17" s="393"/>
      <c r="F17" s="941"/>
      <c r="G17" s="941"/>
      <c r="H17" s="930"/>
      <c r="I17" s="393"/>
      <c r="J17" s="393"/>
      <c r="K17" s="393"/>
      <c r="L17" s="393"/>
    </row>
    <row r="18" spans="2:12" ht="15.75">
      <c r="B18" s="942" t="s">
        <v>406</v>
      </c>
      <c r="C18" s="931"/>
      <c r="D18" s="931"/>
      <c r="E18" s="931"/>
      <c r="F18" s="931"/>
      <c r="G18" s="1578" t="s">
        <v>406</v>
      </c>
      <c r="H18" s="393"/>
      <c r="I18" s="393"/>
      <c r="J18" s="393"/>
      <c r="K18" s="393"/>
      <c r="L18" s="393"/>
    </row>
    <row r="19" spans="2:12" ht="15.75">
      <c r="B19" s="943"/>
      <c r="C19" s="931"/>
      <c r="D19" s="931"/>
      <c r="E19" s="931"/>
      <c r="F19" s="931"/>
      <c r="G19" s="1579"/>
      <c r="H19" s="393"/>
      <c r="I19" s="938"/>
      <c r="J19" s="931"/>
      <c r="K19" s="931"/>
      <c r="L19" s="931"/>
    </row>
    <row r="20" spans="2:12" ht="15.75">
      <c r="B20" s="943" t="s">
        <v>564</v>
      </c>
      <c r="C20" s="931"/>
      <c r="D20" s="931"/>
      <c r="E20" s="931"/>
      <c r="F20" s="931"/>
      <c r="G20" s="1579"/>
      <c r="H20" s="393"/>
      <c r="I20" s="938" t="s">
        <v>565</v>
      </c>
      <c r="J20" s="931"/>
      <c r="K20" s="931"/>
      <c r="L20" s="931"/>
    </row>
    <row r="21" spans="2:12" ht="15.75">
      <c r="B21" s="923" t="s">
        <v>566</v>
      </c>
      <c r="C21" s="923" t="str">
        <f>"Year "&amp;TCOS!L4-2</f>
        <v>Year 2023</v>
      </c>
      <c r="D21" s="923"/>
      <c r="E21" s="944">
        <f>I10/12</f>
        <v>133184.64868257041</v>
      </c>
      <c r="F21" s="944"/>
      <c r="G21" s="1580">
        <v>2.7700000000000003E-3</v>
      </c>
      <c r="H21" s="1312">
        <v>12</v>
      </c>
      <c r="I21" s="944">
        <f>G21*E21*H21*-1</f>
        <v>-4427.0577222086413</v>
      </c>
      <c r="J21" s="944"/>
      <c r="K21" s="944"/>
      <c r="L21" s="944">
        <f>(-I21+E21)*-1</f>
        <v>-137611.70640477905</v>
      </c>
    </row>
    <row r="22" spans="2:12" ht="15.75">
      <c r="B22" s="923" t="s">
        <v>567</v>
      </c>
      <c r="C22" s="923" t="str">
        <f>C21</f>
        <v>Year 2023</v>
      </c>
      <c r="D22" s="923"/>
      <c r="E22" s="944">
        <f>+E21</f>
        <v>133184.64868257041</v>
      </c>
      <c r="F22" s="944"/>
      <c r="G22" s="1580">
        <f>+G21</f>
        <v>2.7700000000000003E-3</v>
      </c>
      <c r="H22" s="1312">
        <f t="shared" ref="H22:H32" si="0">+H21-1</f>
        <v>11</v>
      </c>
      <c r="I22" s="944">
        <f t="shared" ref="I22:I32" si="1">G22*E22*H22*-1</f>
        <v>-4058.1362453579209</v>
      </c>
      <c r="J22" s="944"/>
      <c r="K22" s="944"/>
      <c r="L22" s="944">
        <f t="shared" ref="L22:L32" si="2">(-I22+E22)*-1</f>
        <v>-137242.78492792833</v>
      </c>
    </row>
    <row r="23" spans="2:12" ht="15.75">
      <c r="B23" s="923" t="s">
        <v>568</v>
      </c>
      <c r="C23" s="923" t="str">
        <f>C21</f>
        <v>Year 2023</v>
      </c>
      <c r="D23" s="923"/>
      <c r="E23" s="944">
        <f t="shared" ref="E23:E32" si="3">+E22</f>
        <v>133184.64868257041</v>
      </c>
      <c r="F23" s="944"/>
      <c r="G23" s="1580">
        <f t="shared" ref="G23:G32" si="4">+G22</f>
        <v>2.7700000000000003E-3</v>
      </c>
      <c r="H23" s="1312">
        <f t="shared" si="0"/>
        <v>10</v>
      </c>
      <c r="I23" s="944">
        <f t="shared" si="1"/>
        <v>-3689.2147685072005</v>
      </c>
      <c r="J23" s="944"/>
      <c r="K23" s="944"/>
      <c r="L23" s="944">
        <f t="shared" si="2"/>
        <v>-136873.8634510776</v>
      </c>
    </row>
    <row r="24" spans="2:12" ht="15.75">
      <c r="B24" s="923" t="s">
        <v>569</v>
      </c>
      <c r="C24" s="923" t="str">
        <f>C21</f>
        <v>Year 2023</v>
      </c>
      <c r="D24" s="923"/>
      <c r="E24" s="944">
        <f t="shared" si="3"/>
        <v>133184.64868257041</v>
      </c>
      <c r="F24" s="944"/>
      <c r="G24" s="1580">
        <f t="shared" si="4"/>
        <v>2.7700000000000003E-3</v>
      </c>
      <c r="H24" s="1312">
        <f t="shared" si="0"/>
        <v>9</v>
      </c>
      <c r="I24" s="944">
        <f t="shared" si="1"/>
        <v>-3320.2932916564805</v>
      </c>
      <c r="J24" s="944"/>
      <c r="K24" s="944"/>
      <c r="L24" s="944">
        <f t="shared" si="2"/>
        <v>-136504.94197422688</v>
      </c>
    </row>
    <row r="25" spans="2:12" ht="15.75">
      <c r="B25" s="923" t="s">
        <v>570</v>
      </c>
      <c r="C25" s="923" t="str">
        <f>C21</f>
        <v>Year 2023</v>
      </c>
      <c r="D25" s="923"/>
      <c r="E25" s="944">
        <f t="shared" si="3"/>
        <v>133184.64868257041</v>
      </c>
      <c r="F25" s="944"/>
      <c r="G25" s="1580">
        <f t="shared" si="4"/>
        <v>2.7700000000000003E-3</v>
      </c>
      <c r="H25" s="1312">
        <f t="shared" si="0"/>
        <v>8</v>
      </c>
      <c r="I25" s="944">
        <f t="shared" si="1"/>
        <v>-2951.3718148057606</v>
      </c>
      <c r="J25" s="944"/>
      <c r="K25" s="944"/>
      <c r="L25" s="944">
        <f t="shared" si="2"/>
        <v>-136136.02049737616</v>
      </c>
    </row>
    <row r="26" spans="2:12" ht="15.75">
      <c r="B26" s="923" t="s">
        <v>571</v>
      </c>
      <c r="C26" s="923" t="str">
        <f>C21</f>
        <v>Year 2023</v>
      </c>
      <c r="D26" s="923"/>
      <c r="E26" s="944">
        <f t="shared" si="3"/>
        <v>133184.64868257041</v>
      </c>
      <c r="F26" s="944"/>
      <c r="G26" s="1580">
        <f t="shared" si="4"/>
        <v>2.7700000000000003E-3</v>
      </c>
      <c r="H26" s="1312">
        <f t="shared" si="0"/>
        <v>7</v>
      </c>
      <c r="I26" s="944">
        <f t="shared" si="1"/>
        <v>-2582.4503379550406</v>
      </c>
      <c r="J26" s="944"/>
      <c r="K26" s="944"/>
      <c r="L26" s="944">
        <f t="shared" si="2"/>
        <v>-135767.09902052543</v>
      </c>
    </row>
    <row r="27" spans="2:12" ht="15.75">
      <c r="B27" s="923" t="s">
        <v>572</v>
      </c>
      <c r="C27" s="923" t="str">
        <f>C21</f>
        <v>Year 2023</v>
      </c>
      <c r="D27" s="923"/>
      <c r="E27" s="944">
        <f t="shared" si="3"/>
        <v>133184.64868257041</v>
      </c>
      <c r="F27" s="944"/>
      <c r="G27" s="1580">
        <f t="shared" si="4"/>
        <v>2.7700000000000003E-3</v>
      </c>
      <c r="H27" s="1312">
        <f t="shared" si="0"/>
        <v>6</v>
      </c>
      <c r="I27" s="944">
        <f t="shared" si="1"/>
        <v>-2213.5288611043206</v>
      </c>
      <c r="J27" s="944"/>
      <c r="K27" s="944"/>
      <c r="L27" s="944">
        <f t="shared" si="2"/>
        <v>-135398.17754367471</v>
      </c>
    </row>
    <row r="28" spans="2:12" ht="15.75">
      <c r="B28" s="923" t="s">
        <v>573</v>
      </c>
      <c r="C28" s="923" t="str">
        <f>C21</f>
        <v>Year 2023</v>
      </c>
      <c r="D28" s="923"/>
      <c r="E28" s="944">
        <f t="shared" si="3"/>
        <v>133184.64868257041</v>
      </c>
      <c r="F28" s="944"/>
      <c r="G28" s="1580">
        <f t="shared" si="4"/>
        <v>2.7700000000000003E-3</v>
      </c>
      <c r="H28" s="1312">
        <f t="shared" si="0"/>
        <v>5</v>
      </c>
      <c r="I28" s="944">
        <f t="shared" si="1"/>
        <v>-1844.6073842536002</v>
      </c>
      <c r="J28" s="944"/>
      <c r="K28" s="944"/>
      <c r="L28" s="944">
        <f t="shared" si="2"/>
        <v>-135029.25606682402</v>
      </c>
    </row>
    <row r="29" spans="2:12" ht="15.75">
      <c r="B29" s="923" t="s">
        <v>574</v>
      </c>
      <c r="C29" s="923" t="str">
        <f>C21</f>
        <v>Year 2023</v>
      </c>
      <c r="D29" s="923"/>
      <c r="E29" s="944">
        <f t="shared" si="3"/>
        <v>133184.64868257041</v>
      </c>
      <c r="F29" s="944"/>
      <c r="G29" s="1580">
        <f t="shared" si="4"/>
        <v>2.7700000000000003E-3</v>
      </c>
      <c r="H29" s="1312">
        <f t="shared" si="0"/>
        <v>4</v>
      </c>
      <c r="I29" s="944">
        <f t="shared" si="1"/>
        <v>-1475.6859074028803</v>
      </c>
      <c r="J29" s="944"/>
      <c r="K29" s="944"/>
      <c r="L29" s="944">
        <f t="shared" si="2"/>
        <v>-134660.3345899733</v>
      </c>
    </row>
    <row r="30" spans="2:12" ht="15.75">
      <c r="B30" s="923" t="s">
        <v>575</v>
      </c>
      <c r="C30" s="923" t="str">
        <f>C21</f>
        <v>Year 2023</v>
      </c>
      <c r="D30" s="923"/>
      <c r="E30" s="944">
        <f t="shared" si="3"/>
        <v>133184.64868257041</v>
      </c>
      <c r="F30" s="944"/>
      <c r="G30" s="1580">
        <f t="shared" si="4"/>
        <v>2.7700000000000003E-3</v>
      </c>
      <c r="H30" s="1312">
        <f t="shared" si="0"/>
        <v>3</v>
      </c>
      <c r="I30" s="944">
        <f t="shared" si="1"/>
        <v>-1106.7644305521603</v>
      </c>
      <c r="J30" s="944"/>
      <c r="K30" s="944"/>
      <c r="L30" s="944">
        <f t="shared" si="2"/>
        <v>-134291.41311312257</v>
      </c>
    </row>
    <row r="31" spans="2:12" ht="15.75">
      <c r="B31" s="923" t="s">
        <v>576</v>
      </c>
      <c r="C31" s="923" t="str">
        <f>C21</f>
        <v>Year 2023</v>
      </c>
      <c r="D31" s="923"/>
      <c r="E31" s="944">
        <f t="shared" si="3"/>
        <v>133184.64868257041</v>
      </c>
      <c r="F31" s="944"/>
      <c r="G31" s="1580">
        <f t="shared" si="4"/>
        <v>2.7700000000000003E-3</v>
      </c>
      <c r="H31" s="1312">
        <f t="shared" si="0"/>
        <v>2</v>
      </c>
      <c r="I31" s="944">
        <f t="shared" si="1"/>
        <v>-737.84295370144014</v>
      </c>
      <c r="J31" s="944"/>
      <c r="K31" s="944"/>
      <c r="L31" s="944">
        <f t="shared" si="2"/>
        <v>-133922.49163627185</v>
      </c>
    </row>
    <row r="32" spans="2:12" ht="15.75">
      <c r="B32" s="923" t="s">
        <v>577</v>
      </c>
      <c r="C32" s="923" t="str">
        <f>C21</f>
        <v>Year 2023</v>
      </c>
      <c r="D32" s="923"/>
      <c r="E32" s="944">
        <f t="shared" si="3"/>
        <v>133184.64868257041</v>
      </c>
      <c r="F32" s="944"/>
      <c r="G32" s="1580">
        <f t="shared" si="4"/>
        <v>2.7700000000000003E-3</v>
      </c>
      <c r="H32" s="1312">
        <f t="shared" si="0"/>
        <v>1</v>
      </c>
      <c r="I32" s="946">
        <f t="shared" si="1"/>
        <v>-368.92147685072007</v>
      </c>
      <c r="J32" s="944"/>
      <c r="K32" s="944"/>
      <c r="L32" s="944">
        <f t="shared" si="2"/>
        <v>-133553.57015942113</v>
      </c>
    </row>
    <row r="33" spans="2:12" ht="15.75">
      <c r="B33" s="923"/>
      <c r="C33" s="923"/>
      <c r="D33" s="923"/>
      <c r="E33" s="944"/>
      <c r="F33" s="944"/>
      <c r="G33" s="1580"/>
      <c r="H33" s="923"/>
      <c r="I33" s="944">
        <f>SUM(I21:I32)</f>
        <v>-28775.875194356166</v>
      </c>
      <c r="J33" s="944"/>
      <c r="K33" s="944"/>
      <c r="L33" s="947">
        <f>SUM(L21:L32)</f>
        <v>-1626991.6593852011</v>
      </c>
    </row>
    <row r="34" spans="2:12" ht="15.75">
      <c r="B34" s="923"/>
      <c r="C34" s="923"/>
      <c r="D34" s="923"/>
      <c r="E34" s="944"/>
      <c r="F34" s="944"/>
      <c r="G34" s="1580"/>
      <c r="H34" s="923"/>
      <c r="I34" s="944"/>
      <c r="J34" s="944" t="s">
        <v>406</v>
      </c>
      <c r="K34" s="944"/>
      <c r="L34" s="393"/>
    </row>
    <row r="35" spans="2:12" ht="15.75">
      <c r="B35" s="923"/>
      <c r="C35" s="923"/>
      <c r="D35" s="923"/>
      <c r="E35" s="930"/>
      <c r="F35" s="930"/>
      <c r="G35" s="1580"/>
      <c r="H35" s="923"/>
      <c r="I35" s="948" t="s">
        <v>578</v>
      </c>
      <c r="J35" s="944"/>
      <c r="K35" s="944"/>
      <c r="L35" s="944"/>
    </row>
    <row r="36" spans="2:12" ht="15.75">
      <c r="B36" s="923" t="s">
        <v>579</v>
      </c>
      <c r="C36" s="923" t="str">
        <f>"Year "&amp;TCOS!L4-1</f>
        <v>Year 2024</v>
      </c>
      <c r="D36" s="923"/>
      <c r="E36" s="930">
        <f>L33</f>
        <v>-1626991.6593852011</v>
      </c>
      <c r="F36" s="930"/>
      <c r="G36" s="1580">
        <v>4.239999999999999E-3</v>
      </c>
      <c r="H36" s="1312">
        <v>12</v>
      </c>
      <c r="I36" s="944">
        <f>+H36*G36*E36</f>
        <v>-82781.335629519017</v>
      </c>
      <c r="J36" s="944"/>
      <c r="K36" s="944"/>
      <c r="L36" s="947">
        <f>+E36+I36</f>
        <v>-1709772.9950147201</v>
      </c>
    </row>
    <row r="37" spans="2:12" ht="15.75">
      <c r="B37" s="923"/>
      <c r="C37" s="923"/>
      <c r="D37" s="923"/>
      <c r="E37" s="930"/>
      <c r="F37" s="930"/>
      <c r="G37" s="1580"/>
      <c r="H37" s="923"/>
      <c r="I37" s="944"/>
      <c r="J37" s="944"/>
      <c r="K37" s="944"/>
      <c r="L37" s="944"/>
    </row>
    <row r="38" spans="2:12" ht="15.75">
      <c r="B38" s="949" t="s">
        <v>580</v>
      </c>
      <c r="C38" s="923"/>
      <c r="D38" s="923"/>
      <c r="E38" s="944"/>
      <c r="F38" s="944"/>
      <c r="G38" s="1580"/>
      <c r="H38" s="923"/>
      <c r="I38" s="948" t="s">
        <v>565</v>
      </c>
      <c r="J38" s="944"/>
      <c r="K38" s="944"/>
      <c r="L38" s="944"/>
    </row>
    <row r="39" spans="2:12" ht="15.75">
      <c r="B39" s="923" t="s">
        <v>566</v>
      </c>
      <c r="C39" s="923" t="str">
        <f>"Year "&amp;TCOS!L4</f>
        <v>Year 2025</v>
      </c>
      <c r="D39" s="923"/>
      <c r="E39" s="930">
        <f>-L36</f>
        <v>1709772.9950147201</v>
      </c>
      <c r="F39" s="930"/>
      <c r="G39" s="1580">
        <f>G15</f>
        <v>6.4749999999999981E-3</v>
      </c>
      <c r="H39" s="1312" t="s">
        <v>406</v>
      </c>
      <c r="I39" s="944">
        <f xml:space="preserve"> -G39*E39</f>
        <v>-11070.78014272031</v>
      </c>
      <c r="J39" s="944">
        <f>PMT(G39,12,L$36)</f>
        <v>148548.7043809001</v>
      </c>
      <c r="K39" s="944"/>
      <c r="L39" s="944">
        <f>(+E39+E39*G39-J39)*-1</f>
        <v>-1572295.0707765403</v>
      </c>
    </row>
    <row r="40" spans="2:12" ht="15.75">
      <c r="B40" s="923" t="s">
        <v>567</v>
      </c>
      <c r="C40" s="923" t="str">
        <f>+C39</f>
        <v>Year 2025</v>
      </c>
      <c r="D40" s="923"/>
      <c r="E40" s="930">
        <f>-L39</f>
        <v>1572295.0707765403</v>
      </c>
      <c r="F40" s="930"/>
      <c r="G40" s="1580">
        <f>+G39</f>
        <v>6.4749999999999981E-3</v>
      </c>
      <c r="H40" s="1312" t="s">
        <v>406</v>
      </c>
      <c r="I40" s="944">
        <f xml:space="preserve"> -G40*E40</f>
        <v>-10180.610583278096</v>
      </c>
      <c r="J40" s="944">
        <f>J39</f>
        <v>148548.7043809001</v>
      </c>
      <c r="K40" s="944"/>
      <c r="L40" s="944">
        <f t="shared" ref="L40:L50" si="5">(+E40+E40*G40-J40)*-1</f>
        <v>-1433926.9769789183</v>
      </c>
    </row>
    <row r="41" spans="2:12" ht="15.75">
      <c r="B41" s="923" t="s">
        <v>568</v>
      </c>
      <c r="C41" s="923" t="str">
        <f>+C40</f>
        <v>Year 2025</v>
      </c>
      <c r="D41" s="923"/>
      <c r="E41" s="930">
        <f t="shared" ref="E41:E50" si="6">-L40</f>
        <v>1433926.9769789183</v>
      </c>
      <c r="F41" s="930"/>
      <c r="G41" s="1580">
        <f t="shared" ref="G41:G50" si="7">+G40</f>
        <v>6.4749999999999981E-3</v>
      </c>
      <c r="H41" s="1312" t="s">
        <v>406</v>
      </c>
      <c r="I41" s="944">
        <f t="shared" ref="I41:I50" si="8" xml:space="preserve"> -G41*E41</f>
        <v>-9284.6771759384937</v>
      </c>
      <c r="J41" s="944">
        <f t="shared" ref="J41:J50" si="9">J40</f>
        <v>148548.7043809001</v>
      </c>
      <c r="K41" s="944"/>
      <c r="L41" s="944">
        <f t="shared" si="5"/>
        <v>-1294662.9497739566</v>
      </c>
    </row>
    <row r="42" spans="2:12" ht="15.75">
      <c r="B42" s="923" t="s">
        <v>569</v>
      </c>
      <c r="C42" s="923" t="str">
        <f>+C41</f>
        <v>Year 2025</v>
      </c>
      <c r="D42" s="923"/>
      <c r="E42" s="930">
        <f t="shared" si="6"/>
        <v>1294662.9497739566</v>
      </c>
      <c r="F42" s="930"/>
      <c r="G42" s="1580">
        <f t="shared" si="7"/>
        <v>6.4749999999999981E-3</v>
      </c>
      <c r="H42" s="1312" t="s">
        <v>406</v>
      </c>
      <c r="I42" s="944">
        <f t="shared" si="8"/>
        <v>-8382.9425997863655</v>
      </c>
      <c r="J42" s="944">
        <f t="shared" si="9"/>
        <v>148548.7043809001</v>
      </c>
      <c r="K42" s="944"/>
      <c r="L42" s="944">
        <f t="shared" si="5"/>
        <v>-1154497.1879928429</v>
      </c>
    </row>
    <row r="43" spans="2:12" ht="15.75">
      <c r="B43" s="923" t="s">
        <v>570</v>
      </c>
      <c r="C43" s="923" t="str">
        <f>+C42</f>
        <v>Year 2025</v>
      </c>
      <c r="D43" s="923"/>
      <c r="E43" s="930">
        <f t="shared" si="6"/>
        <v>1154497.1879928429</v>
      </c>
      <c r="F43" s="930"/>
      <c r="G43" s="1580">
        <f t="shared" si="7"/>
        <v>6.4749999999999981E-3</v>
      </c>
      <c r="H43" s="1312" t="s">
        <v>406</v>
      </c>
      <c r="I43" s="944">
        <f t="shared" si="8"/>
        <v>-7475.3692922536557</v>
      </c>
      <c r="J43" s="944">
        <f>J42</f>
        <v>148548.7043809001</v>
      </c>
      <c r="K43" s="944"/>
      <c r="L43" s="944">
        <f t="shared" si="5"/>
        <v>-1013423.8529041964</v>
      </c>
    </row>
    <row r="44" spans="2:12" ht="15.75">
      <c r="B44" s="923" t="s">
        <v>571</v>
      </c>
      <c r="C44" s="923" t="str">
        <f>C43</f>
        <v>Year 2025</v>
      </c>
      <c r="D44" s="393"/>
      <c r="E44" s="930">
        <f t="shared" si="6"/>
        <v>1013423.8529041964</v>
      </c>
      <c r="F44" s="930"/>
      <c r="G44" s="1580">
        <f t="shared" si="7"/>
        <v>6.4749999999999981E-3</v>
      </c>
      <c r="H44" s="1312" t="s">
        <v>406</v>
      </c>
      <c r="I44" s="944">
        <f t="shared" si="8"/>
        <v>-6561.9194475546692</v>
      </c>
      <c r="J44" s="944">
        <f t="shared" si="9"/>
        <v>148548.7043809001</v>
      </c>
      <c r="K44" s="944"/>
      <c r="L44" s="944">
        <f t="shared" si="5"/>
        <v>-871437.06797085085</v>
      </c>
    </row>
    <row r="45" spans="2:12" ht="15.75">
      <c r="B45" s="923" t="s">
        <v>572</v>
      </c>
      <c r="C45" s="923" t="str">
        <f t="shared" ref="C45:C50" si="10">+C44</f>
        <v>Year 2025</v>
      </c>
      <c r="D45" s="923"/>
      <c r="E45" s="930">
        <f t="shared" si="6"/>
        <v>871437.06797085085</v>
      </c>
      <c r="F45" s="930"/>
      <c r="G45" s="1580">
        <f t="shared" si="7"/>
        <v>6.4749999999999981E-3</v>
      </c>
      <c r="H45" s="1312" t="s">
        <v>406</v>
      </c>
      <c r="I45" s="944">
        <f t="shared" si="8"/>
        <v>-5642.5550151112575</v>
      </c>
      <c r="J45" s="944">
        <f t="shared" si="9"/>
        <v>148548.7043809001</v>
      </c>
      <c r="K45" s="944"/>
      <c r="L45" s="944">
        <f t="shared" si="5"/>
        <v>-728530.91860506195</v>
      </c>
    </row>
    <row r="46" spans="2:12" ht="15.75">
      <c r="B46" s="923" t="s">
        <v>573</v>
      </c>
      <c r="C46" s="923" t="str">
        <f t="shared" si="10"/>
        <v>Year 2025</v>
      </c>
      <c r="D46" s="923"/>
      <c r="E46" s="930">
        <f t="shared" si="6"/>
        <v>728530.91860506195</v>
      </c>
      <c r="F46" s="930"/>
      <c r="G46" s="1580">
        <f t="shared" si="7"/>
        <v>6.4749999999999981E-3</v>
      </c>
      <c r="H46" s="1312" t="s">
        <v>406</v>
      </c>
      <c r="I46" s="944">
        <f t="shared" si="8"/>
        <v>-4717.2376979677747</v>
      </c>
      <c r="J46" s="944">
        <f t="shared" si="9"/>
        <v>148548.7043809001</v>
      </c>
      <c r="K46" s="944"/>
      <c r="L46" s="944">
        <f t="shared" si="5"/>
        <v>-584699.45192212961</v>
      </c>
    </row>
    <row r="47" spans="2:12" ht="15.75">
      <c r="B47" s="923" t="s">
        <v>574</v>
      </c>
      <c r="C47" s="923" t="str">
        <f t="shared" si="10"/>
        <v>Year 2025</v>
      </c>
      <c r="D47" s="923"/>
      <c r="E47" s="930">
        <f t="shared" si="6"/>
        <v>584699.45192212961</v>
      </c>
      <c r="F47" s="930"/>
      <c r="G47" s="1580">
        <f t="shared" si="7"/>
        <v>6.4749999999999981E-3</v>
      </c>
      <c r="H47" s="1312" t="s">
        <v>406</v>
      </c>
      <c r="I47" s="944">
        <f t="shared" si="8"/>
        <v>-3785.9289511957882</v>
      </c>
      <c r="J47" s="944">
        <f>J46</f>
        <v>148548.7043809001</v>
      </c>
      <c r="K47" s="944"/>
      <c r="L47" s="944">
        <f t="shared" si="5"/>
        <v>-439936.67649242526</v>
      </c>
    </row>
    <row r="48" spans="2:12" ht="15.75">
      <c r="B48" s="923" t="s">
        <v>575</v>
      </c>
      <c r="C48" s="923" t="str">
        <f t="shared" si="10"/>
        <v>Year 2025</v>
      </c>
      <c r="D48" s="923"/>
      <c r="E48" s="930">
        <f t="shared" si="6"/>
        <v>439936.67649242526</v>
      </c>
      <c r="F48" s="930"/>
      <c r="G48" s="1580">
        <f t="shared" si="7"/>
        <v>6.4749999999999981E-3</v>
      </c>
      <c r="H48" s="1312" t="s">
        <v>406</v>
      </c>
      <c r="I48" s="944">
        <f t="shared" si="8"/>
        <v>-2848.5899802884528</v>
      </c>
      <c r="J48" s="944">
        <f t="shared" si="9"/>
        <v>148548.7043809001</v>
      </c>
      <c r="K48" s="944"/>
      <c r="L48" s="944">
        <f t="shared" si="5"/>
        <v>-294236.56209181366</v>
      </c>
    </row>
    <row r="49" spans="2:12" ht="15.75">
      <c r="B49" s="923" t="s">
        <v>576</v>
      </c>
      <c r="C49" s="923" t="str">
        <f t="shared" si="10"/>
        <v>Year 2025</v>
      </c>
      <c r="D49" s="923"/>
      <c r="E49" s="930">
        <f t="shared" si="6"/>
        <v>294236.56209181366</v>
      </c>
      <c r="F49" s="930"/>
      <c r="G49" s="1580">
        <f t="shared" si="7"/>
        <v>6.4749999999999981E-3</v>
      </c>
      <c r="H49" s="1312" t="s">
        <v>406</v>
      </c>
      <c r="I49" s="944">
        <f t="shared" si="8"/>
        <v>-1905.1817395444928</v>
      </c>
      <c r="J49" s="944">
        <f t="shared" si="9"/>
        <v>148548.7043809001</v>
      </c>
      <c r="K49" s="944"/>
      <c r="L49" s="944">
        <f t="shared" si="5"/>
        <v>-147593.03945045805</v>
      </c>
    </row>
    <row r="50" spans="2:12" ht="15.75">
      <c r="B50" s="923" t="s">
        <v>577</v>
      </c>
      <c r="C50" s="923" t="str">
        <f t="shared" si="10"/>
        <v>Year 2025</v>
      </c>
      <c r="D50" s="923"/>
      <c r="E50" s="930">
        <f t="shared" si="6"/>
        <v>147593.03945045805</v>
      </c>
      <c r="F50" s="930"/>
      <c r="G50" s="1580">
        <f t="shared" si="7"/>
        <v>6.4749999999999981E-3</v>
      </c>
      <c r="H50" s="1312" t="s">
        <v>406</v>
      </c>
      <c r="I50" s="946">
        <f t="shared" si="8"/>
        <v>-955.66493044171557</v>
      </c>
      <c r="J50" s="944">
        <f t="shared" si="9"/>
        <v>148548.7043809001</v>
      </c>
      <c r="K50" s="944"/>
      <c r="L50" s="944">
        <f t="shared" si="5"/>
        <v>3.4924596548080444E-10</v>
      </c>
    </row>
    <row r="51" spans="2:12" ht="15.75">
      <c r="B51" s="923"/>
      <c r="C51" s="923"/>
      <c r="D51" s="923"/>
      <c r="E51" s="930"/>
      <c r="F51" s="930"/>
      <c r="G51" s="945"/>
      <c r="H51" s="923"/>
      <c r="I51" s="944">
        <f>SUM(I39:I50)</f>
        <v>-72811.457556081077</v>
      </c>
      <c r="J51" s="944"/>
      <c r="K51" s="944"/>
      <c r="L51" s="944"/>
    </row>
    <row r="52" spans="2:12" ht="15">
      <c r="B52" s="393"/>
      <c r="C52" s="393"/>
      <c r="D52" s="393"/>
      <c r="E52" s="393"/>
      <c r="F52" s="393"/>
      <c r="G52" s="393"/>
      <c r="H52" s="393"/>
      <c r="I52" s="393"/>
      <c r="J52" s="950"/>
      <c r="K52" s="393"/>
      <c r="L52" s="393"/>
    </row>
    <row r="53" spans="2:12" ht="15.75">
      <c r="B53" s="923" t="s">
        <v>581</v>
      </c>
      <c r="C53" s="393"/>
      <c r="D53" s="393"/>
      <c r="E53" s="393"/>
      <c r="F53" s="393"/>
      <c r="G53" s="393"/>
      <c r="H53" s="393"/>
      <c r="I53" s="393"/>
      <c r="J53" s="951">
        <f>(SUM(J39:J50)*-1)</f>
        <v>-1782584.4525708014</v>
      </c>
      <c r="K53" s="393"/>
      <c r="L53" s="393"/>
    </row>
    <row r="54" spans="2:12" ht="15.75">
      <c r="B54" s="923" t="s">
        <v>582</v>
      </c>
      <c r="C54" s="393"/>
      <c r="D54" s="393"/>
      <c r="E54" s="393"/>
      <c r="F54" s="393"/>
      <c r="G54" s="393"/>
      <c r="H54" s="393"/>
      <c r="I54" s="393"/>
      <c r="J54" s="952">
        <f>+I10</f>
        <v>1598215.7841908447</v>
      </c>
      <c r="K54" s="393"/>
      <c r="L54" s="393"/>
    </row>
    <row r="55" spans="2:12" ht="15.75">
      <c r="B55" s="923" t="s">
        <v>583</v>
      </c>
      <c r="C55" s="393"/>
      <c r="D55" s="393"/>
      <c r="E55" s="393"/>
      <c r="F55" s="393"/>
      <c r="G55" s="393"/>
      <c r="H55" s="393"/>
      <c r="I55" s="393"/>
      <c r="J55" s="951">
        <f>(J53+J54)</f>
        <v>-184368.66837995662</v>
      </c>
      <c r="K55" s="393"/>
      <c r="L55" s="393"/>
    </row>
    <row r="56" spans="2:12">
      <c r="B56" s="392"/>
      <c r="C56" s="392"/>
      <c r="D56" s="392"/>
      <c r="E56" s="392"/>
      <c r="F56" s="392"/>
      <c r="G56" s="392"/>
      <c r="H56" s="392"/>
      <c r="I56" s="392"/>
      <c r="J56" s="392"/>
      <c r="K56" s="392"/>
      <c r="L56" s="392"/>
    </row>
    <row r="57" spans="2:12" ht="80.25" customHeight="1">
      <c r="B57" s="1577" t="s">
        <v>584</v>
      </c>
      <c r="C57" s="1577"/>
      <c r="D57" s="1577"/>
      <c r="E57" s="1577"/>
      <c r="F57" s="1577"/>
      <c r="G57" s="1577"/>
      <c r="H57" s="1313"/>
      <c r="I57" s="1313"/>
      <c r="J57" s="1313"/>
      <c r="K57" s="1313"/>
      <c r="L57" s="1313"/>
    </row>
  </sheetData>
  <mergeCells count="5">
    <mergeCell ref="B3:L3"/>
    <mergeCell ref="B1:L1"/>
    <mergeCell ref="B2:L2"/>
    <mergeCell ref="E4:H4"/>
    <mergeCell ref="B57:G57"/>
  </mergeCells>
  <pageMargins left="0.7" right="0.7" top="0.75" bottom="0.75" header="0.3" footer="0.3"/>
  <pageSetup scale="50"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4"/>
  <dimension ref="B1:L57"/>
  <sheetViews>
    <sheetView view="pageBreakPreview" zoomScale="60" zoomScaleNormal="100" workbookViewId="0">
      <selection activeCell="E7" sqref="E7"/>
    </sheetView>
  </sheetViews>
  <sheetFormatPr defaultColWidth="8.85546875" defaultRowHeight="12.75"/>
  <cols>
    <col min="1" max="1" width="8.85546875" style="173"/>
    <col min="2" max="2" width="31.5703125" style="173" customWidth="1"/>
    <col min="3" max="3" width="10.5703125" style="173" customWidth="1"/>
    <col min="4" max="4" width="8.85546875" style="173"/>
    <col min="5" max="5" width="24.5703125" style="173" customWidth="1"/>
    <col min="6" max="6" width="8.85546875" style="173"/>
    <col min="7" max="7" width="12.7109375" style="173" customWidth="1"/>
    <col min="8" max="8" width="8.85546875" style="173"/>
    <col min="9" max="9" width="18.28515625" style="173" customWidth="1"/>
    <col min="10" max="10" width="17" style="173" customWidth="1"/>
    <col min="11" max="11" width="5.5703125" style="173" customWidth="1"/>
    <col min="12" max="12" width="18.7109375" style="173" customWidth="1"/>
    <col min="13" max="16384" width="8.85546875" style="173"/>
  </cols>
  <sheetData>
    <row r="1" spans="2:12" ht="15.75">
      <c r="B1" s="1575" t="s">
        <v>608</v>
      </c>
      <c r="C1" s="1575"/>
      <c r="D1" s="1575"/>
      <c r="E1" s="1575"/>
      <c r="F1" s="1575"/>
      <c r="G1" s="1575"/>
      <c r="H1" s="1575"/>
      <c r="I1" s="1575"/>
      <c r="J1" s="1575"/>
      <c r="K1" s="1575"/>
      <c r="L1" s="1575"/>
    </row>
    <row r="2" spans="2:12" ht="15.75">
      <c r="B2" s="1576" t="s">
        <v>555</v>
      </c>
      <c r="C2" s="1576"/>
      <c r="D2" s="1576"/>
      <c r="E2" s="1576"/>
      <c r="F2" s="1576"/>
      <c r="G2" s="1576"/>
      <c r="H2" s="1576"/>
      <c r="I2" s="1576"/>
      <c r="J2" s="1576"/>
      <c r="K2" s="1576"/>
      <c r="L2" s="1576"/>
    </row>
    <row r="3" spans="2:12" ht="18">
      <c r="B3" s="1574" t="s">
        <v>585</v>
      </c>
      <c r="C3" s="1574"/>
      <c r="D3" s="1574"/>
      <c r="E3" s="1574"/>
      <c r="F3" s="1574"/>
      <c r="G3" s="1574"/>
      <c r="H3" s="1574"/>
      <c r="I3" s="1574"/>
      <c r="J3" s="1574"/>
      <c r="K3" s="1574"/>
      <c r="L3" s="1574"/>
    </row>
    <row r="4" spans="2:12" ht="15.75">
      <c r="B4" s="393"/>
      <c r="C4" s="393"/>
      <c r="D4" s="393"/>
      <c r="E4" s="1576"/>
      <c r="F4" s="1576"/>
      <c r="G4" s="1576"/>
      <c r="H4" s="1576"/>
      <c r="I4" s="393"/>
      <c r="J4" s="393"/>
      <c r="K4" s="393"/>
      <c r="L4" s="393"/>
    </row>
    <row r="5" spans="2:12">
      <c r="B5" s="392"/>
      <c r="C5" s="392"/>
      <c r="D5" s="392"/>
      <c r="E5" s="392"/>
      <c r="F5" s="392"/>
      <c r="G5" s="392"/>
      <c r="H5" s="392"/>
      <c r="I5" s="392"/>
      <c r="J5" s="392"/>
      <c r="K5" s="392"/>
      <c r="L5" s="392"/>
    </row>
    <row r="6" spans="2:12">
      <c r="B6" s="392"/>
      <c r="C6" s="392"/>
      <c r="D6" s="392"/>
      <c r="E6" s="392"/>
      <c r="F6" s="392"/>
      <c r="G6" s="392"/>
      <c r="H6" s="392"/>
      <c r="I6" s="392"/>
      <c r="J6" s="392"/>
      <c r="K6" s="392"/>
      <c r="L6" s="392"/>
    </row>
    <row r="7" spans="2:12" ht="16.5" thickBot="1">
      <c r="B7" s="922"/>
      <c r="C7" s="923"/>
      <c r="D7" s="923"/>
      <c r="E7" s="923"/>
      <c r="F7" s="923"/>
      <c r="G7" s="923"/>
      <c r="H7" s="923"/>
      <c r="I7" s="923"/>
      <c r="J7" s="923"/>
      <c r="K7" s="923"/>
      <c r="L7" s="923"/>
    </row>
    <row r="8" spans="2:12" ht="67.5" customHeight="1">
      <c r="B8" s="1398" t="str">
        <f>'WS R Interest'!B8</f>
        <v>Reconciliation Revenue Requirement For Year 2023 Available May 25, 2024</v>
      </c>
      <c r="C8" s="1399"/>
      <c r="D8" s="1399"/>
      <c r="E8" s="1398" t="s">
        <v>981</v>
      </c>
      <c r="F8" s="923"/>
      <c r="G8" s="923"/>
      <c r="H8" s="393"/>
      <c r="I8" s="1307" t="s">
        <v>557</v>
      </c>
      <c r="J8" s="393"/>
      <c r="K8" s="393"/>
      <c r="L8" s="1308" t="s">
        <v>406</v>
      </c>
    </row>
    <row r="9" spans="2:12" ht="15.75">
      <c r="B9" s="924" t="s">
        <v>406</v>
      </c>
      <c r="C9" s="923"/>
      <c r="D9" s="923"/>
      <c r="E9" s="924"/>
      <c r="F9" s="923"/>
      <c r="G9" s="923"/>
      <c r="H9" s="393"/>
      <c r="I9" s="925"/>
      <c r="J9" s="393"/>
      <c r="K9" s="393"/>
      <c r="L9" s="1309"/>
    </row>
    <row r="10" spans="2:12" ht="24" thickBot="1">
      <c r="B10" s="921">
        <v>68611.400000000009</v>
      </c>
      <c r="C10" s="1310" t="str">
        <f>"-"</f>
        <v>-</v>
      </c>
      <c r="D10" s="926"/>
      <c r="E10" s="921">
        <v>64467.933911229396</v>
      </c>
      <c r="F10" s="927"/>
      <c r="G10" s="1311" t="str">
        <f>"="</f>
        <v>=</v>
      </c>
      <c r="H10" s="928"/>
      <c r="I10" s="929">
        <f>IF(B10=0,0,E10-B10)</f>
        <v>-4143.4660887706123</v>
      </c>
      <c r="J10" s="393"/>
      <c r="K10" s="393"/>
      <c r="L10" s="393"/>
    </row>
    <row r="11" spans="2:12" ht="15.75">
      <c r="B11" s="930"/>
      <c r="C11" s="931"/>
      <c r="D11" s="931"/>
      <c r="E11" s="930"/>
      <c r="F11" s="930"/>
      <c r="G11" s="931"/>
      <c r="H11" s="930"/>
      <c r="I11" s="393"/>
      <c r="J11" s="393"/>
      <c r="K11" s="393"/>
      <c r="L11" s="393"/>
    </row>
    <row r="12" spans="2:12" ht="16.5" thickBot="1">
      <c r="B12" s="932"/>
      <c r="C12" s="933"/>
      <c r="D12" s="933"/>
      <c r="E12" s="932"/>
      <c r="F12" s="932"/>
      <c r="G12" s="933"/>
      <c r="H12" s="932"/>
      <c r="I12" s="934"/>
      <c r="J12" s="934"/>
      <c r="K12" s="934"/>
      <c r="L12" s="934"/>
    </row>
    <row r="13" spans="2:12" ht="15.75">
      <c r="B13" s="935"/>
      <c r="C13" s="931"/>
      <c r="D13" s="931"/>
      <c r="E13" s="930"/>
      <c r="F13" s="930"/>
      <c r="G13" s="931"/>
      <c r="H13" s="930"/>
      <c r="I13" s="393"/>
      <c r="J13" s="393"/>
      <c r="K13" s="393"/>
      <c r="L13" s="393"/>
    </row>
    <row r="14" spans="2:12" ht="47.25">
      <c r="B14" s="936" t="s">
        <v>802</v>
      </c>
      <c r="C14" s="931"/>
      <c r="D14" s="931"/>
      <c r="E14" s="937" t="s">
        <v>558</v>
      </c>
      <c r="F14" s="930"/>
      <c r="G14" s="937" t="s">
        <v>559</v>
      </c>
      <c r="H14" s="938" t="s">
        <v>560</v>
      </c>
      <c r="I14" s="939" t="s">
        <v>561</v>
      </c>
      <c r="J14" s="937" t="s">
        <v>562</v>
      </c>
      <c r="K14" s="940"/>
      <c r="L14" s="937" t="s">
        <v>563</v>
      </c>
    </row>
    <row r="15" spans="2:12" ht="15.75">
      <c r="B15" s="936" t="s">
        <v>803</v>
      </c>
      <c r="C15" s="931"/>
      <c r="D15" s="931"/>
      <c r="E15" s="393"/>
      <c r="F15" s="941"/>
      <c r="G15" s="953">
        <v>6.4749999999999981E-3</v>
      </c>
      <c r="I15" s="393"/>
      <c r="J15" s="393"/>
      <c r="K15" s="393"/>
      <c r="L15" s="393"/>
    </row>
    <row r="16" spans="2:12" ht="15.75">
      <c r="B16" s="936"/>
      <c r="C16" s="931"/>
      <c r="D16" s="931"/>
      <c r="E16" s="393"/>
      <c r="F16" s="941"/>
      <c r="G16" s="941"/>
      <c r="H16" s="930"/>
      <c r="I16" s="393"/>
      <c r="J16" s="393"/>
      <c r="K16" s="393"/>
      <c r="L16" s="393"/>
    </row>
    <row r="17" spans="2:12" ht="15.75">
      <c r="B17" s="936" t="str">
        <f>'WS R Interest'!B17</f>
        <v>An over or under collection will be recovered prorata over 2023, held for 2024 and returned prorate over 2025</v>
      </c>
      <c r="C17" s="931"/>
      <c r="D17" s="931"/>
      <c r="E17" s="393"/>
      <c r="F17" s="941"/>
      <c r="G17" s="941"/>
      <c r="H17" s="930"/>
      <c r="I17" s="393"/>
      <c r="J17" s="393"/>
      <c r="K17" s="393"/>
      <c r="L17" s="393"/>
    </row>
    <row r="18" spans="2:12" ht="15.75">
      <c r="B18" s="942" t="s">
        <v>406</v>
      </c>
      <c r="C18" s="931"/>
      <c r="D18" s="931"/>
      <c r="E18" s="931"/>
      <c r="F18" s="931"/>
      <c r="G18" s="1578" t="s">
        <v>406</v>
      </c>
      <c r="H18" s="393"/>
      <c r="I18" s="393"/>
      <c r="J18" s="393"/>
      <c r="K18" s="393"/>
      <c r="L18" s="393"/>
    </row>
    <row r="19" spans="2:12" ht="15.75">
      <c r="B19" s="943"/>
      <c r="C19" s="931"/>
      <c r="D19" s="931"/>
      <c r="E19" s="931"/>
      <c r="F19" s="931"/>
      <c r="G19" s="1579"/>
      <c r="H19" s="393"/>
      <c r="I19" s="938"/>
      <c r="J19" s="931"/>
      <c r="K19" s="931"/>
      <c r="L19" s="931"/>
    </row>
    <row r="20" spans="2:12" ht="15.75">
      <c r="B20" s="943" t="s">
        <v>564</v>
      </c>
      <c r="C20" s="931"/>
      <c r="D20" s="931"/>
      <c r="E20" s="931"/>
      <c r="F20" s="931"/>
      <c r="G20" s="1579"/>
      <c r="H20" s="393"/>
      <c r="I20" s="938" t="s">
        <v>565</v>
      </c>
      <c r="J20" s="931"/>
      <c r="K20" s="931"/>
      <c r="L20" s="931"/>
    </row>
    <row r="21" spans="2:12" ht="15.75">
      <c r="B21" s="923" t="s">
        <v>566</v>
      </c>
      <c r="C21" s="923" t="str">
        <f>"Year "&amp;TCOS!L4-2</f>
        <v>Year 2023</v>
      </c>
      <c r="D21" s="923"/>
      <c r="E21" s="944">
        <f>I10/12</f>
        <v>-345.28884073088437</v>
      </c>
      <c r="F21" s="944"/>
      <c r="G21" s="1580">
        <v>2.7700000000000003E-3</v>
      </c>
      <c r="H21" s="1312">
        <v>12</v>
      </c>
      <c r="I21" s="944">
        <f>G21*E21*H21*-1</f>
        <v>11.477401065894599</v>
      </c>
      <c r="J21" s="944"/>
      <c r="K21" s="944"/>
      <c r="L21" s="944">
        <f>(-I21+E21)*-1</f>
        <v>356.76624179677896</v>
      </c>
    </row>
    <row r="22" spans="2:12" ht="15.75">
      <c r="B22" s="923" t="s">
        <v>567</v>
      </c>
      <c r="C22" s="923" t="str">
        <f>C21</f>
        <v>Year 2023</v>
      </c>
      <c r="D22" s="923"/>
      <c r="E22" s="944">
        <f>+E21</f>
        <v>-345.28884073088437</v>
      </c>
      <c r="F22" s="944"/>
      <c r="G22" s="1580">
        <f>+G21</f>
        <v>2.7700000000000003E-3</v>
      </c>
      <c r="H22" s="1312">
        <f t="shared" ref="H22:H32" si="0">+H21-1</f>
        <v>11</v>
      </c>
      <c r="I22" s="944">
        <f t="shared" ref="I22:I32" si="1">G22*E22*H22*-1</f>
        <v>10.520950977070049</v>
      </c>
      <c r="J22" s="944"/>
      <c r="K22" s="944"/>
      <c r="L22" s="944">
        <f t="shared" ref="L22:L32" si="2">(-I22+E22)*-1</f>
        <v>355.80979170795445</v>
      </c>
    </row>
    <row r="23" spans="2:12" ht="15.75">
      <c r="B23" s="923" t="s">
        <v>568</v>
      </c>
      <c r="C23" s="923" t="str">
        <f>C21</f>
        <v>Year 2023</v>
      </c>
      <c r="D23" s="923"/>
      <c r="E23" s="944">
        <f t="shared" ref="E23:E32" si="3">+E22</f>
        <v>-345.28884073088437</v>
      </c>
      <c r="F23" s="944"/>
      <c r="G23" s="1580">
        <f t="shared" ref="G23:G32" si="4">+G22</f>
        <v>2.7700000000000003E-3</v>
      </c>
      <c r="H23" s="1312">
        <f t="shared" si="0"/>
        <v>10</v>
      </c>
      <c r="I23" s="944">
        <f t="shared" si="1"/>
        <v>9.5645008882454992</v>
      </c>
      <c r="J23" s="944"/>
      <c r="K23" s="944"/>
      <c r="L23" s="944">
        <f t="shared" si="2"/>
        <v>354.85334161912988</v>
      </c>
    </row>
    <row r="24" spans="2:12" ht="15.75">
      <c r="B24" s="923" t="s">
        <v>569</v>
      </c>
      <c r="C24" s="923" t="str">
        <f>C21</f>
        <v>Year 2023</v>
      </c>
      <c r="D24" s="923"/>
      <c r="E24" s="944">
        <f t="shared" si="3"/>
        <v>-345.28884073088437</v>
      </c>
      <c r="F24" s="944"/>
      <c r="G24" s="1580">
        <f t="shared" si="4"/>
        <v>2.7700000000000003E-3</v>
      </c>
      <c r="H24" s="1312">
        <f t="shared" si="0"/>
        <v>9</v>
      </c>
      <c r="I24" s="944">
        <f t="shared" si="1"/>
        <v>8.6080507994209494</v>
      </c>
      <c r="J24" s="944"/>
      <c r="K24" s="944"/>
      <c r="L24" s="944">
        <f t="shared" si="2"/>
        <v>353.89689153030531</v>
      </c>
    </row>
    <row r="25" spans="2:12" ht="15.75">
      <c r="B25" s="923" t="s">
        <v>570</v>
      </c>
      <c r="C25" s="923" t="str">
        <f>C21</f>
        <v>Year 2023</v>
      </c>
      <c r="D25" s="923"/>
      <c r="E25" s="944">
        <f t="shared" si="3"/>
        <v>-345.28884073088437</v>
      </c>
      <c r="F25" s="944"/>
      <c r="G25" s="1580">
        <f t="shared" si="4"/>
        <v>2.7700000000000003E-3</v>
      </c>
      <c r="H25" s="1312">
        <f t="shared" si="0"/>
        <v>8</v>
      </c>
      <c r="I25" s="944">
        <f t="shared" si="1"/>
        <v>7.6516007105963988</v>
      </c>
      <c r="J25" s="944"/>
      <c r="K25" s="944"/>
      <c r="L25" s="944">
        <f t="shared" si="2"/>
        <v>352.9404414414808</v>
      </c>
    </row>
    <row r="26" spans="2:12" ht="15.75">
      <c r="B26" s="923" t="s">
        <v>571</v>
      </c>
      <c r="C26" s="923" t="str">
        <f>C21</f>
        <v>Year 2023</v>
      </c>
      <c r="D26" s="923"/>
      <c r="E26" s="944">
        <f t="shared" si="3"/>
        <v>-345.28884073088437</v>
      </c>
      <c r="F26" s="944"/>
      <c r="G26" s="1580">
        <f t="shared" si="4"/>
        <v>2.7700000000000003E-3</v>
      </c>
      <c r="H26" s="1312">
        <f t="shared" si="0"/>
        <v>7</v>
      </c>
      <c r="I26" s="944">
        <f t="shared" si="1"/>
        <v>6.6951506217718491</v>
      </c>
      <c r="J26" s="944"/>
      <c r="K26" s="944"/>
      <c r="L26" s="944">
        <f t="shared" si="2"/>
        <v>351.98399135265623</v>
      </c>
    </row>
    <row r="27" spans="2:12" ht="15.75">
      <c r="B27" s="923" t="s">
        <v>572</v>
      </c>
      <c r="C27" s="923" t="str">
        <f>C21</f>
        <v>Year 2023</v>
      </c>
      <c r="D27" s="923"/>
      <c r="E27" s="944">
        <f t="shared" si="3"/>
        <v>-345.28884073088437</v>
      </c>
      <c r="F27" s="944"/>
      <c r="G27" s="1580">
        <f t="shared" si="4"/>
        <v>2.7700000000000003E-3</v>
      </c>
      <c r="H27" s="1312">
        <f t="shared" si="0"/>
        <v>6</v>
      </c>
      <c r="I27" s="944">
        <f t="shared" si="1"/>
        <v>5.7387005329472993</v>
      </c>
      <c r="J27" s="944"/>
      <c r="K27" s="944"/>
      <c r="L27" s="944">
        <f t="shared" si="2"/>
        <v>351.02754126383167</v>
      </c>
    </row>
    <row r="28" spans="2:12" ht="15.75">
      <c r="B28" s="923" t="s">
        <v>573</v>
      </c>
      <c r="C28" s="923" t="str">
        <f>C21</f>
        <v>Year 2023</v>
      </c>
      <c r="D28" s="923"/>
      <c r="E28" s="944">
        <f t="shared" si="3"/>
        <v>-345.28884073088437</v>
      </c>
      <c r="F28" s="944"/>
      <c r="G28" s="1580">
        <f t="shared" si="4"/>
        <v>2.7700000000000003E-3</v>
      </c>
      <c r="H28" s="1312">
        <f t="shared" si="0"/>
        <v>5</v>
      </c>
      <c r="I28" s="944">
        <f t="shared" si="1"/>
        <v>4.7822504441227496</v>
      </c>
      <c r="J28" s="944"/>
      <c r="K28" s="944"/>
      <c r="L28" s="944">
        <f t="shared" si="2"/>
        <v>350.0710911750071</v>
      </c>
    </row>
    <row r="29" spans="2:12" ht="15.75">
      <c r="B29" s="923" t="s">
        <v>574</v>
      </c>
      <c r="C29" s="923" t="str">
        <f>C21</f>
        <v>Year 2023</v>
      </c>
      <c r="D29" s="923"/>
      <c r="E29" s="944">
        <f t="shared" si="3"/>
        <v>-345.28884073088437</v>
      </c>
      <c r="F29" s="944"/>
      <c r="G29" s="1580">
        <f t="shared" si="4"/>
        <v>2.7700000000000003E-3</v>
      </c>
      <c r="H29" s="1312">
        <f t="shared" si="0"/>
        <v>4</v>
      </c>
      <c r="I29" s="944">
        <f t="shared" si="1"/>
        <v>3.8258003552981994</v>
      </c>
      <c r="J29" s="944"/>
      <c r="K29" s="944"/>
      <c r="L29" s="944">
        <f t="shared" si="2"/>
        <v>349.11464108618259</v>
      </c>
    </row>
    <row r="30" spans="2:12" ht="15.75">
      <c r="B30" s="923" t="s">
        <v>575</v>
      </c>
      <c r="C30" s="923" t="str">
        <f>C21</f>
        <v>Year 2023</v>
      </c>
      <c r="D30" s="923"/>
      <c r="E30" s="944">
        <f t="shared" si="3"/>
        <v>-345.28884073088437</v>
      </c>
      <c r="F30" s="944"/>
      <c r="G30" s="1580">
        <f t="shared" si="4"/>
        <v>2.7700000000000003E-3</v>
      </c>
      <c r="H30" s="1312">
        <f t="shared" si="0"/>
        <v>3</v>
      </c>
      <c r="I30" s="944">
        <f t="shared" si="1"/>
        <v>2.8693502664736497</v>
      </c>
      <c r="J30" s="944"/>
      <c r="K30" s="944"/>
      <c r="L30" s="944">
        <f t="shared" si="2"/>
        <v>348.15819099735802</v>
      </c>
    </row>
    <row r="31" spans="2:12" ht="15.75">
      <c r="B31" s="923" t="s">
        <v>576</v>
      </c>
      <c r="C31" s="923" t="str">
        <f>C21</f>
        <v>Year 2023</v>
      </c>
      <c r="D31" s="923"/>
      <c r="E31" s="944">
        <f t="shared" si="3"/>
        <v>-345.28884073088437</v>
      </c>
      <c r="F31" s="944"/>
      <c r="G31" s="1580">
        <f t="shared" si="4"/>
        <v>2.7700000000000003E-3</v>
      </c>
      <c r="H31" s="1312">
        <f t="shared" si="0"/>
        <v>2</v>
      </c>
      <c r="I31" s="944">
        <f t="shared" si="1"/>
        <v>1.9129001776490997</v>
      </c>
      <c r="J31" s="944"/>
      <c r="K31" s="944"/>
      <c r="L31" s="944">
        <f t="shared" si="2"/>
        <v>347.20174090853345</v>
      </c>
    </row>
    <row r="32" spans="2:12" ht="15.75">
      <c r="B32" s="923" t="s">
        <v>577</v>
      </c>
      <c r="C32" s="923" t="str">
        <f>C21</f>
        <v>Year 2023</v>
      </c>
      <c r="D32" s="923"/>
      <c r="E32" s="944">
        <f t="shared" si="3"/>
        <v>-345.28884073088437</v>
      </c>
      <c r="F32" s="944"/>
      <c r="G32" s="1580">
        <f t="shared" si="4"/>
        <v>2.7700000000000003E-3</v>
      </c>
      <c r="H32" s="1312">
        <f t="shared" si="0"/>
        <v>1</v>
      </c>
      <c r="I32" s="946">
        <f t="shared" si="1"/>
        <v>0.95645008882454985</v>
      </c>
      <c r="J32" s="944"/>
      <c r="K32" s="944"/>
      <c r="L32" s="944">
        <f t="shared" si="2"/>
        <v>346.24529081970894</v>
      </c>
    </row>
    <row r="33" spans="2:12" ht="15.75">
      <c r="B33" s="923"/>
      <c r="C33" s="923"/>
      <c r="D33" s="923"/>
      <c r="E33" s="944"/>
      <c r="F33" s="944"/>
      <c r="G33" s="1580"/>
      <c r="H33" s="923"/>
      <c r="I33" s="944">
        <f>SUM(I21:I32)</f>
        <v>74.603106928314901</v>
      </c>
      <c r="J33" s="944"/>
      <c r="K33" s="944"/>
      <c r="L33" s="947">
        <f>SUM(L21:L32)</f>
        <v>4218.0691956989267</v>
      </c>
    </row>
    <row r="34" spans="2:12" ht="15.75">
      <c r="B34" s="923"/>
      <c r="C34" s="923"/>
      <c r="D34" s="923"/>
      <c r="E34" s="944"/>
      <c r="F34" s="944"/>
      <c r="G34" s="1580"/>
      <c r="H34" s="923"/>
      <c r="I34" s="944"/>
      <c r="J34" s="944" t="s">
        <v>406</v>
      </c>
      <c r="K34" s="944"/>
      <c r="L34" s="393"/>
    </row>
    <row r="35" spans="2:12" ht="15.75">
      <c r="B35" s="923"/>
      <c r="C35" s="923"/>
      <c r="D35" s="923"/>
      <c r="E35" s="930"/>
      <c r="F35" s="930"/>
      <c r="G35" s="1580"/>
      <c r="H35" s="923"/>
      <c r="I35" s="948" t="s">
        <v>578</v>
      </c>
      <c r="J35" s="944"/>
      <c r="K35" s="944"/>
      <c r="L35" s="944"/>
    </row>
    <row r="36" spans="2:12" ht="15.75">
      <c r="B36" s="923" t="s">
        <v>579</v>
      </c>
      <c r="C36" s="923" t="str">
        <f>"Year "&amp;TCOS!L4-1</f>
        <v>Year 2024</v>
      </c>
      <c r="D36" s="923"/>
      <c r="E36" s="930">
        <f>L33</f>
        <v>4218.0691956989267</v>
      </c>
      <c r="F36" s="930"/>
      <c r="G36" s="1580">
        <v>4.239999999999999E-3</v>
      </c>
      <c r="H36" s="1312">
        <v>12</v>
      </c>
      <c r="I36" s="944">
        <f>+H36*G36*E36</f>
        <v>214.61536067716133</v>
      </c>
      <c r="J36" s="944"/>
      <c r="K36" s="944"/>
      <c r="L36" s="947">
        <f>+E36+I36</f>
        <v>4432.684556376088</v>
      </c>
    </row>
    <row r="37" spans="2:12" ht="15.75">
      <c r="B37" s="923"/>
      <c r="C37" s="923"/>
      <c r="D37" s="923"/>
      <c r="E37" s="930"/>
      <c r="F37" s="930"/>
      <c r="G37" s="1580"/>
      <c r="H37" s="923"/>
      <c r="I37" s="944"/>
      <c r="J37" s="944"/>
      <c r="K37" s="944"/>
      <c r="L37" s="944"/>
    </row>
    <row r="38" spans="2:12" ht="15.75">
      <c r="B38" s="949" t="s">
        <v>580</v>
      </c>
      <c r="C38" s="923"/>
      <c r="D38" s="923"/>
      <c r="E38" s="944"/>
      <c r="F38" s="944"/>
      <c r="G38" s="1580"/>
      <c r="H38" s="923"/>
      <c r="I38" s="948" t="s">
        <v>565</v>
      </c>
      <c r="J38" s="944"/>
      <c r="K38" s="944"/>
      <c r="L38" s="944"/>
    </row>
    <row r="39" spans="2:12" ht="15.75">
      <c r="B39" s="923" t="s">
        <v>566</v>
      </c>
      <c r="C39" s="923" t="str">
        <f>"Year "&amp;TCOS!L4</f>
        <v>Year 2025</v>
      </c>
      <c r="D39" s="923"/>
      <c r="E39" s="930">
        <f>-L36</f>
        <v>-4432.684556376088</v>
      </c>
      <c r="F39" s="930"/>
      <c r="G39" s="1580">
        <f>G15</f>
        <v>6.4749999999999981E-3</v>
      </c>
      <c r="H39" s="1312" t="s">
        <v>406</v>
      </c>
      <c r="I39" s="944">
        <f xml:space="preserve"> -G39*E39</f>
        <v>28.701632502535162</v>
      </c>
      <c r="J39" s="944">
        <f>PMT(G39,12,L$36)</f>
        <v>-385.12103635911251</v>
      </c>
      <c r="K39" s="944"/>
      <c r="L39" s="944">
        <f>(+E39+E39*G39-J39)*-1</f>
        <v>4076.2651525195106</v>
      </c>
    </row>
    <row r="40" spans="2:12" ht="15.75">
      <c r="B40" s="923" t="s">
        <v>567</v>
      </c>
      <c r="C40" s="923" t="str">
        <f>+C39</f>
        <v>Year 2025</v>
      </c>
      <c r="D40" s="923"/>
      <c r="E40" s="930">
        <f>-L39</f>
        <v>-4076.2651525195106</v>
      </c>
      <c r="F40" s="930"/>
      <c r="G40" s="1580">
        <f>+G39</f>
        <v>6.4749999999999981E-3</v>
      </c>
      <c r="H40" s="1312" t="s">
        <v>406</v>
      </c>
      <c r="I40" s="944">
        <f xml:space="preserve"> -G40*E40</f>
        <v>26.393816862563824</v>
      </c>
      <c r="J40" s="944">
        <f>J39</f>
        <v>-385.12103635911251</v>
      </c>
      <c r="K40" s="944"/>
      <c r="L40" s="944">
        <f t="shared" ref="L40:L50" si="5">(+E40+E40*G40-J40)*-1</f>
        <v>3717.5379330229616</v>
      </c>
    </row>
    <row r="41" spans="2:12" ht="15.75">
      <c r="B41" s="923" t="s">
        <v>568</v>
      </c>
      <c r="C41" s="923" t="str">
        <f>+C40</f>
        <v>Year 2025</v>
      </c>
      <c r="D41" s="923"/>
      <c r="E41" s="930">
        <f t="shared" ref="E41:E50" si="6">-L40</f>
        <v>-3717.5379330229616</v>
      </c>
      <c r="F41" s="930"/>
      <c r="G41" s="1580">
        <f t="shared" ref="G41:G50" si="7">+G40</f>
        <v>6.4749999999999981E-3</v>
      </c>
      <c r="H41" s="1312" t="s">
        <v>406</v>
      </c>
      <c r="I41" s="944">
        <f t="shared" ref="I41:I50" si="8" xml:space="preserve"> -G41*E41</f>
        <v>24.07105811632367</v>
      </c>
      <c r="J41" s="944">
        <f t="shared" ref="J41:J50" si="9">J40</f>
        <v>-385.12103635911251</v>
      </c>
      <c r="K41" s="944"/>
      <c r="L41" s="944">
        <f t="shared" si="5"/>
        <v>3356.4879547801725</v>
      </c>
    </row>
    <row r="42" spans="2:12" ht="15.75">
      <c r="B42" s="923" t="s">
        <v>569</v>
      </c>
      <c r="C42" s="923" t="str">
        <f>+C41</f>
        <v>Year 2025</v>
      </c>
      <c r="D42" s="923"/>
      <c r="E42" s="930">
        <f t="shared" si="6"/>
        <v>-3356.4879547801725</v>
      </c>
      <c r="F42" s="930"/>
      <c r="G42" s="1580">
        <f t="shared" si="7"/>
        <v>6.4749999999999981E-3</v>
      </c>
      <c r="H42" s="1312" t="s">
        <v>406</v>
      </c>
      <c r="I42" s="944">
        <f t="shared" si="8"/>
        <v>21.733259507201609</v>
      </c>
      <c r="J42" s="944">
        <f t="shared" si="9"/>
        <v>-385.12103635911251</v>
      </c>
      <c r="K42" s="944"/>
      <c r="L42" s="944">
        <f t="shared" si="5"/>
        <v>2993.1001779282615</v>
      </c>
    </row>
    <row r="43" spans="2:12" ht="15.75">
      <c r="B43" s="923" t="s">
        <v>570</v>
      </c>
      <c r="C43" s="923" t="str">
        <f>+C42</f>
        <v>Year 2025</v>
      </c>
      <c r="D43" s="923"/>
      <c r="E43" s="930">
        <f t="shared" si="6"/>
        <v>-2993.1001779282615</v>
      </c>
      <c r="F43" s="930"/>
      <c r="G43" s="1580">
        <f t="shared" si="7"/>
        <v>6.4749999999999981E-3</v>
      </c>
      <c r="H43" s="1312" t="s">
        <v>406</v>
      </c>
      <c r="I43" s="944">
        <f t="shared" si="8"/>
        <v>19.380323652085487</v>
      </c>
      <c r="J43" s="944">
        <f>J42</f>
        <v>-385.12103635911251</v>
      </c>
      <c r="K43" s="944"/>
      <c r="L43" s="944">
        <f t="shared" si="5"/>
        <v>2627.3594652212341</v>
      </c>
    </row>
    <row r="44" spans="2:12" ht="15.75">
      <c r="B44" s="923" t="s">
        <v>571</v>
      </c>
      <c r="C44" s="923" t="str">
        <f>C43</f>
        <v>Year 2025</v>
      </c>
      <c r="D44" s="393"/>
      <c r="E44" s="930">
        <f t="shared" si="6"/>
        <v>-2627.3594652212341</v>
      </c>
      <c r="F44" s="930"/>
      <c r="G44" s="1580">
        <f t="shared" si="7"/>
        <v>6.4749999999999981E-3</v>
      </c>
      <c r="H44" s="1312" t="s">
        <v>406</v>
      </c>
      <c r="I44" s="944">
        <f t="shared" si="8"/>
        <v>17.012152537307486</v>
      </c>
      <c r="J44" s="944">
        <f t="shared" si="9"/>
        <v>-385.12103635911251</v>
      </c>
      <c r="K44" s="944"/>
      <c r="L44" s="944">
        <f t="shared" si="5"/>
        <v>2259.2505813994289</v>
      </c>
    </row>
    <row r="45" spans="2:12" ht="15.75">
      <c r="B45" s="923" t="s">
        <v>572</v>
      </c>
      <c r="C45" s="923" t="str">
        <f t="shared" ref="C45:C50" si="10">+C44</f>
        <v>Year 2025</v>
      </c>
      <c r="D45" s="923"/>
      <c r="E45" s="930">
        <f t="shared" si="6"/>
        <v>-2259.2505813994289</v>
      </c>
      <c r="F45" s="930"/>
      <c r="G45" s="1580">
        <f t="shared" si="7"/>
        <v>6.4749999999999981E-3</v>
      </c>
      <c r="H45" s="1312" t="s">
        <v>406</v>
      </c>
      <c r="I45" s="944">
        <f t="shared" si="8"/>
        <v>14.628647514561298</v>
      </c>
      <c r="J45" s="944">
        <f t="shared" si="9"/>
        <v>-385.12103635911251</v>
      </c>
      <c r="K45" s="944"/>
      <c r="L45" s="944">
        <f t="shared" si="5"/>
        <v>1888.7581925548775</v>
      </c>
    </row>
    <row r="46" spans="2:12" ht="15.75">
      <c r="B46" s="923" t="s">
        <v>573</v>
      </c>
      <c r="C46" s="923" t="str">
        <f t="shared" si="10"/>
        <v>Year 2025</v>
      </c>
      <c r="D46" s="923"/>
      <c r="E46" s="930">
        <f t="shared" si="6"/>
        <v>-1888.7581925548775</v>
      </c>
      <c r="F46" s="930"/>
      <c r="G46" s="1580">
        <f t="shared" si="7"/>
        <v>6.4749999999999981E-3</v>
      </c>
      <c r="H46" s="1312" t="s">
        <v>406</v>
      </c>
      <c r="I46" s="944">
        <f t="shared" si="8"/>
        <v>12.229709296792828</v>
      </c>
      <c r="J46" s="944">
        <f t="shared" si="9"/>
        <v>-385.12103635911251</v>
      </c>
      <c r="K46" s="944"/>
      <c r="L46" s="944">
        <f t="shared" si="5"/>
        <v>1515.8668654925577</v>
      </c>
    </row>
    <row r="47" spans="2:12" ht="15.75">
      <c r="B47" s="923" t="s">
        <v>574</v>
      </c>
      <c r="C47" s="923" t="str">
        <f t="shared" si="10"/>
        <v>Year 2025</v>
      </c>
      <c r="D47" s="923"/>
      <c r="E47" s="930">
        <f t="shared" si="6"/>
        <v>-1515.8668654925577</v>
      </c>
      <c r="F47" s="930"/>
      <c r="G47" s="1580">
        <f t="shared" si="7"/>
        <v>6.4749999999999981E-3</v>
      </c>
      <c r="H47" s="1312" t="s">
        <v>406</v>
      </c>
      <c r="I47" s="944">
        <f t="shared" si="8"/>
        <v>9.8152379540643082</v>
      </c>
      <c r="J47" s="944">
        <f>J46</f>
        <v>-385.12103635911251</v>
      </c>
      <c r="K47" s="944"/>
      <c r="L47" s="944">
        <f t="shared" si="5"/>
        <v>1140.5610670875094</v>
      </c>
    </row>
    <row r="48" spans="2:12" ht="15.75">
      <c r="B48" s="923" t="s">
        <v>575</v>
      </c>
      <c r="C48" s="923" t="str">
        <f t="shared" si="10"/>
        <v>Year 2025</v>
      </c>
      <c r="D48" s="923"/>
      <c r="E48" s="930">
        <f t="shared" si="6"/>
        <v>-1140.5610670875094</v>
      </c>
      <c r="F48" s="930"/>
      <c r="G48" s="1580">
        <f t="shared" si="7"/>
        <v>6.4749999999999981E-3</v>
      </c>
      <c r="H48" s="1312" t="s">
        <v>406</v>
      </c>
      <c r="I48" s="944">
        <f t="shared" si="8"/>
        <v>7.3851329093916211</v>
      </c>
      <c r="J48" s="944">
        <f t="shared" si="9"/>
        <v>-385.12103635911251</v>
      </c>
      <c r="K48" s="944"/>
      <c r="L48" s="944">
        <f t="shared" si="5"/>
        <v>762.82516363778848</v>
      </c>
    </row>
    <row r="49" spans="2:12" ht="15.75">
      <c r="B49" s="923" t="s">
        <v>576</v>
      </c>
      <c r="C49" s="923" t="str">
        <f t="shared" si="10"/>
        <v>Year 2025</v>
      </c>
      <c r="D49" s="923"/>
      <c r="E49" s="930">
        <f t="shared" si="6"/>
        <v>-762.82516363778848</v>
      </c>
      <c r="F49" s="930"/>
      <c r="G49" s="1580">
        <f t="shared" si="7"/>
        <v>6.4749999999999981E-3</v>
      </c>
      <c r="H49" s="1312" t="s">
        <v>406</v>
      </c>
      <c r="I49" s="944">
        <f t="shared" si="8"/>
        <v>4.939292934554679</v>
      </c>
      <c r="J49" s="944">
        <f t="shared" si="9"/>
        <v>-385.12103635911251</v>
      </c>
      <c r="K49" s="944"/>
      <c r="L49" s="944">
        <f t="shared" si="5"/>
        <v>382.64342021323068</v>
      </c>
    </row>
    <row r="50" spans="2:12" ht="15.75">
      <c r="B50" s="923" t="s">
        <v>577</v>
      </c>
      <c r="C50" s="923" t="str">
        <f t="shared" si="10"/>
        <v>Year 2025</v>
      </c>
      <c r="D50" s="923"/>
      <c r="E50" s="930">
        <f t="shared" si="6"/>
        <v>-382.64342021323068</v>
      </c>
      <c r="F50" s="930"/>
      <c r="G50" s="1580">
        <f t="shared" si="7"/>
        <v>6.4749999999999981E-3</v>
      </c>
      <c r="H50" s="1312" t="s">
        <v>406</v>
      </c>
      <c r="I50" s="946">
        <f t="shared" si="8"/>
        <v>2.4776161458806678</v>
      </c>
      <c r="J50" s="944">
        <f t="shared" si="9"/>
        <v>-385.12103635911251</v>
      </c>
      <c r="K50" s="944"/>
      <c r="L50" s="944">
        <f t="shared" si="5"/>
        <v>-1.1368683772161603E-12</v>
      </c>
    </row>
    <row r="51" spans="2:12" ht="15.75">
      <c r="B51" s="923"/>
      <c r="C51" s="923"/>
      <c r="D51" s="923"/>
      <c r="E51" s="930"/>
      <c r="F51" s="930"/>
      <c r="G51" s="945"/>
      <c r="H51" s="923"/>
      <c r="I51" s="944">
        <f>SUM(I39:I50)</f>
        <v>188.76787993326263</v>
      </c>
      <c r="J51" s="944"/>
      <c r="K51" s="944"/>
      <c r="L51" s="944"/>
    </row>
    <row r="52" spans="2:12" ht="15">
      <c r="B52" s="393"/>
      <c r="C52" s="393"/>
      <c r="D52" s="393"/>
      <c r="E52" s="393"/>
      <c r="F52" s="393"/>
      <c r="G52" s="393"/>
      <c r="H52" s="393"/>
      <c r="I52" s="393"/>
      <c r="J52" s="950"/>
      <c r="K52" s="393"/>
      <c r="L52" s="393"/>
    </row>
    <row r="53" spans="2:12" ht="15.75">
      <c r="B53" s="923" t="s">
        <v>581</v>
      </c>
      <c r="C53" s="393"/>
      <c r="D53" s="393"/>
      <c r="E53" s="393"/>
      <c r="F53" s="393"/>
      <c r="G53" s="393"/>
      <c r="H53" s="393"/>
      <c r="I53" s="393"/>
      <c r="J53" s="951">
        <f>(SUM(J39:J50)*-1)</f>
        <v>4621.4524363093506</v>
      </c>
      <c r="K53" s="393"/>
      <c r="L53" s="393"/>
    </row>
    <row r="54" spans="2:12" ht="15.75">
      <c r="B54" s="923" t="s">
        <v>582</v>
      </c>
      <c r="C54" s="393"/>
      <c r="D54" s="393"/>
      <c r="E54" s="393"/>
      <c r="F54" s="393"/>
      <c r="G54" s="393"/>
      <c r="H54" s="393"/>
      <c r="I54" s="393"/>
      <c r="J54" s="952">
        <f>+I10</f>
        <v>-4143.4660887706123</v>
      </c>
      <c r="K54" s="393"/>
      <c r="L54" s="393"/>
    </row>
    <row r="55" spans="2:12" ht="15.75">
      <c r="B55" s="923" t="s">
        <v>583</v>
      </c>
      <c r="C55" s="393"/>
      <c r="D55" s="393"/>
      <c r="E55" s="393"/>
      <c r="F55" s="393"/>
      <c r="G55" s="393"/>
      <c r="H55" s="393"/>
      <c r="I55" s="393"/>
      <c r="J55" s="951">
        <f>(J53+J54)</f>
        <v>477.9863475387383</v>
      </c>
      <c r="K55" s="393"/>
      <c r="L55" s="393"/>
    </row>
    <row r="56" spans="2:12">
      <c r="B56" s="392"/>
      <c r="C56" s="392"/>
      <c r="D56" s="392"/>
      <c r="E56" s="392"/>
      <c r="F56" s="392"/>
      <c r="G56" s="392"/>
      <c r="H56" s="392"/>
      <c r="I56" s="392"/>
      <c r="J56" s="392"/>
      <c r="K56" s="392"/>
      <c r="L56" s="392"/>
    </row>
    <row r="57" spans="2:12" ht="81" customHeight="1">
      <c r="B57" s="1577" t="s">
        <v>584</v>
      </c>
      <c r="C57" s="1577"/>
      <c r="D57" s="1577"/>
      <c r="E57" s="1577"/>
      <c r="F57" s="1577"/>
      <c r="G57" s="1577"/>
      <c r="H57" s="1313"/>
      <c r="I57" s="1313"/>
      <c r="J57" s="1313"/>
      <c r="K57" s="1313"/>
      <c r="L57" s="1313"/>
    </row>
  </sheetData>
  <mergeCells count="5">
    <mergeCell ref="B1:L1"/>
    <mergeCell ref="B2:L2"/>
    <mergeCell ref="B3:L3"/>
    <mergeCell ref="E4:H4"/>
    <mergeCell ref="B57:G57"/>
  </mergeCells>
  <pageMargins left="0.7" right="0.7" top="0.75" bottom="0.75" header="0.3" footer="0.3"/>
  <pageSetup scale="5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rappedLabelHistory xmlns:xsd="http://www.w3.org/2001/XMLSchema" xmlns:xsi="http://www.w3.org/2001/XMLSchema-instance" xmlns="http://www.boldonjames.com/2016/02/Classifier/internal/wrappedLabelHistory">
  <Value>PD94bWwgdmVyc2lvbj0iMS4wIiBlbmNvZGluZz0idXMtYXNjaWkiPz48bGFiZWxIaXN0b3J5IHhtbG5zOnhzZD0iaHR0cDovL3d3dy53My5vcmcvMjAwMS9YTUxTY2hlbWEiIHhtbG5zOnhzaT0iaHR0cDovL3d3dy53My5vcmcvMjAwMS9YTUxTY2hlbWEtaW5zdGFuY2UiIHhtbG5zPSJodHRwOi8vd3d3LmJvbGRvbmphbWVzLmNvbS8yMDE2LzAyL0NsYXNzaWZpZXIvaW50ZXJuYWwvbGFiZWxIaXN0b3J5Ij48aXRlbT48c2lzbCBzaXNsVmVyc2lvbj0iMCIgcG9saWN5PSJlOWMwYjhkNy1iZGI0LTRmZDMtYjYyYS1mNTAzMjdhYWVmY2UiIG9yaWdpbj0iYXV0b1NlbGVjdGVkU3VnZ2VzdGlvbiI+PGVsZW1lbnQgdWlkPSI1MGMzMTgyNC0wNzgwLTQ5MTAtODdkMS1lYWFmZmQxODJkNDIiIHZhbHVlPSIiIHhtbG5zPSJodHRwOi8vd3d3LmJvbGRvbmphbWVzLmNvbS8yMDA4LzAxL3NpZS9pbnRlcm5hbC9sYWJlbCIgLz48ZWxlbWVudCB1aWQ9ImM2NDIxOGFiLWI4ZDEtNDBiNi1hNDc4LWNiOGJlMWUxMGVjYyIgdmFsdWU9IiIgeG1sbnM9Imh0dHA6Ly93d3cuYm9sZG9uamFtZXMuY29tLzIwMDgvMDEvc2llL2ludGVybmFsL2xhYmVsIiAvPjwvc2lzbD48VXNlck5hbWU+Q09SUFxzMjczNjg5PC9Vc2VyTmFtZT48RGF0ZVRpbWU+My8zMS8yMDIzIDE6MjY6NDQgUE08L0RhdGVUaW1lPjxMYWJlbFN0cmluZz5BRVAgSW50ZXJuYWw8L0xhYmVsU3RyaW5nPjwvaXRlbT48L2xhYmVsSGlzdG9yeT4=</Value>
</WrappedLabelHistory>
</file>

<file path=customXml/item2.xml><?xml version="1.0" encoding="utf-8"?>
<sisl xmlns:xsd="http://www.w3.org/2001/XMLSchema" xmlns:xsi="http://www.w3.org/2001/XMLSchema-instance" xmlns="http://www.boldonjames.com/2008/01/sie/internal/label" sislVersion="0" policy="e9c0b8d7-bdb4-4fd3-b62a-f50327aaefce" origin="autoSelectedSuggestion">
  <element uid="50c31824-0780-4910-87d1-eaaffd182d42" value=""/>
  <element uid="c64218ab-b8d1-40b6-a478-cb8be1e10ecc" value=""/>
</sisl>
</file>

<file path=customXml/itemProps1.xml><?xml version="1.0" encoding="utf-8"?>
<ds:datastoreItem xmlns:ds="http://schemas.openxmlformats.org/officeDocument/2006/customXml" ds:itemID="{00EE0248-AE77-40E4-8A99-E0F2BCC3E69D}">
  <ds:schemaRefs>
    <ds:schemaRef ds:uri="http://www.w3.org/2001/XMLSchema"/>
    <ds:schemaRef ds:uri="http://www.boldonjames.com/2016/02/Classifier/internal/wrappedLabelHistory"/>
  </ds:schemaRefs>
</ds:datastoreItem>
</file>

<file path=customXml/itemProps2.xml><?xml version="1.0" encoding="utf-8"?>
<ds:datastoreItem xmlns:ds="http://schemas.openxmlformats.org/officeDocument/2006/customXml" ds:itemID="{DED4B0EC-D2D3-4A53-AD8F-565CEFF40900}">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2</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TCOS</vt:lpstr>
      <vt:lpstr>WS A - Rate Base Support</vt:lpstr>
      <vt:lpstr>WS B ADIT &amp; ITC</vt:lpstr>
      <vt:lpstr>WS B-1 - Actual Stmt. AF</vt:lpstr>
      <vt:lpstr>WS B-2 - Actual Stmt. AG</vt:lpstr>
      <vt:lpstr>WS B-3</vt:lpstr>
      <vt:lpstr>WS-B-3-A-Remeas Suprt</vt:lpstr>
      <vt:lpstr>WS C  - Working Capital</vt:lpstr>
      <vt:lpstr>WS D IPP Credits</vt:lpstr>
      <vt:lpstr>WS E Rev Credits</vt:lpstr>
      <vt:lpstr>WS F Misc Exp</vt:lpstr>
      <vt:lpstr>WS G  State Tax Rate</vt:lpstr>
      <vt:lpstr>WS H-p1 Other Taxes</vt:lpstr>
      <vt:lpstr>WS H-p2 Detail of Tax Amts</vt:lpstr>
      <vt:lpstr>WS I RESERVED</vt:lpstr>
      <vt:lpstr>WS J PROJECTED RTEP RR</vt:lpstr>
      <vt:lpstr>WS K TRUE-UP RTEP RR</vt:lpstr>
      <vt:lpstr>WS L RESERVED</vt:lpstr>
      <vt:lpstr>WS M - Cost of Capital</vt:lpstr>
      <vt:lpstr>WS N - Sale of Plant Held</vt:lpstr>
      <vt:lpstr>Worksheet O</vt:lpstr>
      <vt:lpstr>WS P Dep. Rates</vt:lpstr>
      <vt:lpstr>WS Q Cap Structure</vt:lpstr>
      <vt:lpstr>WS R Interest</vt:lpstr>
      <vt:lpstr>WS R Schedule 1A</vt:lpstr>
      <vt:lpstr>NP_h</vt:lpstr>
      <vt:lpstr>NPh</vt:lpstr>
      <vt:lpstr>TCOS!Print_Area</vt:lpstr>
      <vt:lpstr>'Worksheet O'!Print_Area</vt:lpstr>
      <vt:lpstr>'WS B ADIT &amp; ITC'!Print_Area</vt:lpstr>
      <vt:lpstr>'WS D IPP Credits'!Print_Area</vt:lpstr>
      <vt:lpstr>'WS E Rev Credits'!Print_Area</vt:lpstr>
      <vt:lpstr>'WS F Misc Exp'!Print_Area</vt:lpstr>
      <vt:lpstr>'WS G  State Tax Rate'!Print_Area</vt:lpstr>
      <vt:lpstr>'WS H-p1 Other Taxes'!Print_Area</vt:lpstr>
      <vt:lpstr>'WS H-p2 Detail of Tax Amts'!Print_Area</vt:lpstr>
      <vt:lpstr>'WS I RESERVED'!Print_Area</vt:lpstr>
      <vt:lpstr>'WS J PROJECTED RTEP RR'!Print_Area</vt:lpstr>
      <vt:lpstr>'WS K TRUE-UP RTEP RR'!Print_Area</vt:lpstr>
      <vt:lpstr>'WS L RESERVED'!Print_Area</vt:lpstr>
      <vt:lpstr>'WS N - Sale of Plant Held'!Print_Area</vt:lpstr>
      <vt:lpstr>'WS Q Cap Structure'!Print_Area</vt:lpstr>
      <vt:lpstr>'WS R Interest'!Print_Area</vt:lpstr>
      <vt:lpstr>'WS R Schedule 1A'!Print_Area</vt:lpstr>
      <vt:lpstr>'WS A - Rate Base Support'!Print_Titles</vt:lpstr>
      <vt:lpstr>'WS C  - Working Capital'!Print_Titles</vt:lpstr>
      <vt:lpstr>'WS H-p1 Other Taxes'!Print_Titles</vt:lpstr>
      <vt:lpstr>'WS H-p2 Detail of Tax Amts'!Print_Titles</vt:lpstr>
      <vt:lpstr>'WS M - Cost of Capital'!Print_Titles</vt:lpstr>
      <vt:lpstr>'WS P Dep. Rates'!Print_Titles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_</dc:title>
  <dc:creator/>
  <cp:keywords/>
  <cp:lastModifiedBy/>
  <cp:lastPrinted>1601-01-01T00:00:00Z</cp:lastPrinted>
  <dcterms:created xsi:type="dcterms:W3CDTF">1601-01-01T00:00:00Z</dcterms:created>
  <dcterms:modified xsi:type="dcterms:W3CDTF">2024-10-30T16:10:43Z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5e08640f-a4b9-4650-acfe-d3eb2adaa8bc</vt:lpwstr>
  </property>
  <property fmtid="{D5CDD505-2E9C-101B-9397-08002B2CF9AE}" pid="3" name="bjSaver">
    <vt:lpwstr>8nLAsadz8EP4iOoOx2MGVCL7CmDu+dAi</vt:lpwstr>
  </property>
  <property fmtid="{D5CDD505-2E9C-101B-9397-08002B2CF9AE}" pid="4" name="bjDocumentSecurityLabel">
    <vt:lpwstr>AEP Internal</vt:lpwstr>
  </property>
  <property fmtid="{D5CDD505-2E9C-101B-9397-08002B2CF9AE}" pid="5" name="Visual Markings Removed">
    <vt:lpwstr>No</vt:lpwstr>
  </property>
  <property fmtid="{D5CDD505-2E9C-101B-9397-08002B2CF9AE}" pid="6" name="bjDocumentLabelXML">
    <vt:lpwstr>&lt;?xml version="1.0" encoding="us-ascii"?&gt;&lt;sisl xmlns:xsd="http://www.w3.org/2001/XMLSchema" xmlns:xsi="http://www.w3.org/2001/XMLSchema-instance" sislVersion="0" policy="e9c0b8d7-bdb4-4fd3-b62a-f50327aaefce" origin="autoSelectedSuggestion" xmlns="http://w</vt:lpwstr>
  </property>
  <property fmtid="{D5CDD505-2E9C-101B-9397-08002B2CF9AE}" pid="7" name="bjDocumentLabelXML-0">
    <vt:lpwstr>ww.boldonjames.com/2008/01/sie/internal/label"&gt;&lt;element uid="50c31824-0780-4910-87d1-eaaffd182d42" value="" /&gt;&lt;element uid="c64218ab-b8d1-40b6-a478-cb8be1e10ecc" value="" /&gt;&lt;/sisl&gt;</vt:lpwstr>
  </property>
  <property fmtid="{D5CDD505-2E9C-101B-9397-08002B2CF9AE}" pid="8" name="bjLabelHistoryID">
    <vt:lpwstr>{00EE0248-AE77-40E4-8A99-E0F2BCC3E69D}</vt:lpwstr>
  </property>
  <property fmtid="{D5CDD505-2E9C-101B-9397-08002B2CF9AE}" pid="9" name="MSIP_Label_69f43042-6bda-44b2-91eb-eca3d3d484f4_SiteId">
    <vt:lpwstr>15f3c881-6b03-4ff6-8559-77bf5177818f</vt:lpwstr>
  </property>
  <property fmtid="{D5CDD505-2E9C-101B-9397-08002B2CF9AE}" pid="10" name="MSIP_Label_69f43042-6bda-44b2-91eb-eca3d3d484f4_Name">
    <vt:lpwstr>AEP Internal</vt:lpwstr>
  </property>
  <property fmtid="{D5CDD505-2E9C-101B-9397-08002B2CF9AE}" pid="11" name="MSIP_Label_69f43042-6bda-44b2-91eb-eca3d3d484f4_Enabled">
    <vt:lpwstr>true</vt:lpwstr>
  </property>
  <property fmtid="{D5CDD505-2E9C-101B-9397-08002B2CF9AE}" pid="12" name="bjClsUserRVM">
    <vt:lpwstr>[]</vt:lpwstr>
  </property>
</Properties>
</file>